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mXbcFKiH17RHbGLJJvJroqo5WnC48lokv7rJnOJzkE2UdGrtg2iNQoXTgWGjWZGu1Ur9TNoVoknnqUXu2Ai5ZQ==" workbookSaltValue="PLl0mmDnlmAL1OII6CC2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M13" i="2"/>
  <c r="N13" i="2"/>
  <c r="T13" i="12"/>
  <c r="R10" i="21"/>
  <c r="R13" i="21" s="1"/>
  <c r="R19" i="21" s="1"/>
  <c r="BG9" i="11"/>
  <c r="BH17" i="11"/>
  <c r="T17" i="16"/>
  <c r="BU15" i="17"/>
  <c r="BW17" i="20"/>
  <c r="BW16" i="20"/>
  <c r="BW15" i="20"/>
  <c r="BV10" i="16"/>
  <c r="S11" i="17"/>
  <c r="T13" i="16"/>
  <c r="AZ11" i="11"/>
  <c r="S15" i="16"/>
  <c r="BF12" i="11"/>
  <c r="BL10" i="11"/>
  <c r="BK16" i="11"/>
  <c r="BG16" i="11"/>
  <c r="BM9" i="11"/>
  <c r="BK10" i="11"/>
  <c r="T13" i="20"/>
  <c r="BF15" i="8"/>
  <c r="BF9" i="8"/>
  <c r="AU18" i="21"/>
  <c r="S15" i="17"/>
  <c r="AH13" i="16"/>
  <c r="S16" i="17"/>
  <c r="L17" i="2"/>
  <c r="V10" i="16"/>
  <c r="AP13" i="16"/>
  <c r="T18" i="17"/>
  <c r="BG15" i="13"/>
  <c r="BE16" i="13"/>
  <c r="BE15" i="13"/>
  <c r="AX20" i="20"/>
  <c r="S19" i="8" l="1"/>
  <c r="AB13" i="21"/>
  <c r="I11" i="3"/>
  <c r="BG10" i="8"/>
  <c r="H10" i="2"/>
  <c r="V9" i="11"/>
  <c r="V11" i="11"/>
  <c r="BL17" i="11"/>
  <c r="BH17" i="16"/>
  <c r="T9" i="11"/>
  <c r="C12" i="14"/>
  <c r="K12" i="14" s="1"/>
  <c r="X15" i="16"/>
  <c r="X18" i="16" s="1"/>
  <c r="L12" i="2"/>
  <c r="BH12" i="16"/>
  <c r="S17" i="17"/>
  <c r="BH11" i="11"/>
  <c r="BJ10" i="11"/>
  <c r="BL15" i="11"/>
  <c r="P15" i="17"/>
  <c r="X17" i="17"/>
  <c r="AZ16" i="11"/>
  <c r="BU12" i="17"/>
  <c r="BU17" i="17"/>
  <c r="BU9" i="17"/>
  <c r="BV15" i="16"/>
  <c r="BV16" i="16"/>
  <c r="BW9" i="20"/>
  <c r="T15" i="16"/>
  <c r="BM15" i="11"/>
  <c r="BL11" i="11"/>
  <c r="BI17" i="11"/>
  <c r="BJ11" i="11"/>
  <c r="BM12" i="11"/>
  <c r="BF10" i="11"/>
  <c r="BM16" i="11"/>
  <c r="BH11" i="16"/>
  <c r="AL16" i="11"/>
  <c r="C16" i="6"/>
  <c r="BE9" i="13"/>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J18" i="11" s="1"/>
  <c r="BI15" i="11"/>
  <c r="BH9" i="11"/>
  <c r="AP10" i="21"/>
  <c r="BK11" i="11"/>
  <c r="X11" i="17"/>
  <c r="BK9" i="11"/>
  <c r="BK12" i="11"/>
  <c r="P17" i="17"/>
  <c r="P18" i="17" s="1"/>
  <c r="P19" i="17" s="1"/>
  <c r="BG10" i="11"/>
  <c r="BL9" i="11"/>
  <c r="Q9" i="11" s="1"/>
  <c r="BF11"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K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O10" i="11"/>
  <c r="AP20" i="20"/>
  <c r="AH20" i="20"/>
  <c r="H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BB20" i="16"/>
  <c r="AM20" i="17"/>
  <c r="H20" i="12"/>
  <c r="AM20" i="11"/>
  <c r="I20" i="17"/>
  <c r="AR20" i="17"/>
  <c r="AR20" i="16"/>
  <c r="AA20" i="16"/>
  <c r="AW20" i="16"/>
  <c r="K20" i="21"/>
  <c r="AN20" i="17"/>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AI20" i="21"/>
  <c r="AS20" i="16"/>
  <c r="BS20" i="16"/>
  <c r="U20" i="20"/>
  <c r="Y20" i="17"/>
  <c r="AL20" i="21"/>
  <c r="AA20" i="11"/>
  <c r="K20" i="12"/>
  <c r="N20" i="17"/>
  <c r="BQ20" i="16"/>
  <c r="E20" i="12"/>
  <c r="N20" i="16"/>
  <c r="T20" i="17"/>
  <c r="AB20" i="17"/>
  <c r="BO20" i="16"/>
  <c r="AF20" i="16"/>
  <c r="AU20" i="11"/>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<sst xmlns="http://schemas.openxmlformats.org/spreadsheetml/2006/main" count="2102" uniqueCount="917">
  <si>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</si>
  <si>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</si>
  <si>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</si>
  <si>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</si>
  <si>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</si>
  <si>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</si>
  <si>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</si>
  <si>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</si>
  <si>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</si>
  <si>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</si>
  <si>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</si>
  <si>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</si>
  <si>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</si>
  <si>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</si>
  <si>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</si>
  <si>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</si>
  <si>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</si>
  <si>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</si>
  <si>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</si>
  <si>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</si>
  <si>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</si>
  <si>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</si>
  <si>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</si>
  <si>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</si>
  <si>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</si>
  <si>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</si>
  <si>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</si>
  <si>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</si>
  <si>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</si>
  <si>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</si>
  <si>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</si>
  <si>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</si>
  <si>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</si>
  <si>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</si>
  <si>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</si>
  <si>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</si>
  <si>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</si>
  <si>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</si>
  <si>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</si>
  <si>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</si>
  <si>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</si>
  <si>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</si>
  <si>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</si>
  <si>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</si>
  <si>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</si>
  <si>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</si>
  <si>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</si>
  <si>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</si>
  <si>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</si>
  <si>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</si>
  <si>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</si>
  <si>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</si>
  <si>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</si>
  <si>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</si>
  <si>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</si>
  <si>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</si>
  <si>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</si>
  <si>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</si>
  <si>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</si>
  <si>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</si>
  <si>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</si>
  <si>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</si>
  <si>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</si>
  <si>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</si>
  <si>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</si>
  <si>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</si>
  <si>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</si>
  <si>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</si>
  <si>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</si>
  <si>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</si>
  <si>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</si>
  <si>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</si>
  <si>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</si>
  <si>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</si>
  <si>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</si>
  <si>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</si>
  <si>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</si>
  <si>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</si>
  <si>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</si>
  <si>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</si>
  <si>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</si>
  <si>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</si>
  <si>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</si>
  <si>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</si>
  <si>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</si>
  <si>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</si>
  <si>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</si>
  <si>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</si>
  <si>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</si>
  <si>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</si>
  <si>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</si>
  <si>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</si>
  <si>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</si>
  <si>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</si>
  <si>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</si>
  <si>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</si>
  <si>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</si>
  <si>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</si>
  <si>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</si>
  <si>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</si>
  <si>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</si>
  <si>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</si>
  <si>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</si>
  <si>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</si>
  <si>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</si>
  <si>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</si>
  <si>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</si>
  <si>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</si>
  <si>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</si>
  <si>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</si>
  <si>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</si>
  <si>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</si>
  <si>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</si>
  <si>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</si>
  <si>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</si>
  <si>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</si>
  <si>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</si>
  <si>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</si>
  <si>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</si>
  <si>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</si>
  <si>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</si>
  <si>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</si>
  <si>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</si>
  <si>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</si>
  <si>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</si>
  <si>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</si>
  <si>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</si>
  <si>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</si>
  <si>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</si>
  <si>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</si>
  <si>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</si>
  <si>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</si>
  <si>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</si>
  <si>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</si>
  <si>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</si>
  <si>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</si>
  <si>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</si>
  <si>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</si>
  <si>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</si>
  <si>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</si>
  <si>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</si>
  <si>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</si>
  <si>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</si>
  <si>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</si>
  <si>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</si>
  <si>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</si>
  <si>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</si>
  <si>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</si>
  <si>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</si>
  <si>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</si>
  <si>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</si>
  <si>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</si>
  <si>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</si>
  <si>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</si>
  <si>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</si>
  <si>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</si>
  <si>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</si>
  <si>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</si>
  <si>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</si>
  <si>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</si>
  <si>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</si>
  <si>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</si>
  <si>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</si>
  <si>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</si>
  <si>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</si>
  <si>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</si>
  <si>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</si>
  <si>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</si>
  <si>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</si>
  <si>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</si>
  <si>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</si>
  <si>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</si>
  <si>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</si>
  <si>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</si>
  <si>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</si>
  <si>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</si>
  <si>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</si>
  <si>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</si>
  <si>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</si>
  <si>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</si>
  <si>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</si>
  <si>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</si>
  <si>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</si>
  <si>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</si>
  <si>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</si>
  <si>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</si>
  <si>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</si>
  <si>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</si>
  <si>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</si>
  <si>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</si>
  <si>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</si>
  <si>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</si>
  <si>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</si>
  <si>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</si>
  <si>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</si>
  <si>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</si>
  <si>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</si>
  <si>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</si>
  <si>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</si>
  <si>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</si>
  <si>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</si>
  <si>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</si>
  <si>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</si>
  <si>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</si>
  <si>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</si>
  <si>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</si>
  <si>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</si>
  <si>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</si>
  <si>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</si>
  <si>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</si>
  <si>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</si>
  <si>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</si>
  <si>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</si>
  <si>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</si>
  <si>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</si>
  <si>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</si>
  <si>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</si>
  <si>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</si>
  <si>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</si>
  <si>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</si>
  <si>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</si>
  <si>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</si>
  <si>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</si>
  <si>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</si>
  <si>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</si>
  <si>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</si>
  <si>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</si>
  <si>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</si>
  <si>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</si>
  <si>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</si>
  <si>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</si>
  <si>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</si>
  <si>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</si>
  <si>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</si>
  <si>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</si>
  <si>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</si>
  <si>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</si>
  <si>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</si>
  <si>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</si>
  <si>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</si>
  <si>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</si>
  <si>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</si>
  <si>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</si>
  <si>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</si>
  <si>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</si>
  <si>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</si>
  <si>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</si>
  <si>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</si>
  <si>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</si>
  <si>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</si>
  <si>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</si>
  <si>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</si>
  <si>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</si>
  <si>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</si>
  <si>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</si>
  <si>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</si>
  <si>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</si>
  <si>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</si>
  <si>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</si>
  <si>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</si>
  <si>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</si>
  <si>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</si>
  <si>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</si>
  <si>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</si>
  <si>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</si>
  <si>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</si>
  <si>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</si>
  <si>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</si>
  <si>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</si>
  <si>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</si>
  <si>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</si>
  <si>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</si>
  <si>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</si>
  <si>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</si>
  <si>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</si>
  <si>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</si>
  <si>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</si>
  <si>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</si>
  <si>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</si>
  <si>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</si>
  <si>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</si>
  <si>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</si>
  <si>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</si>
  <si>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</si>
  <si>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</si>
  <si>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</si>
  <si>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</si>
  <si>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</si>
  <si>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</si>
  <si>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</si>
  <si>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</si>
  <si>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</si>
  <si>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</si>
  <si>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</si>
  <si>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</si>
  <si>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</si>
  <si>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</si>
  <si>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</si>
  <si>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</si>
  <si>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</si>
  <si>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</si>
  <si>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</si>
  <si>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</si>
  <si>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</si>
  <si>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</si>
  <si>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</si>
  <si>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</si>
  <si>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</si>
  <si>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</si>
  <si>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</si>
  <si>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</si>
  <si>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</si>
  <si>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</si>
  <si>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</si>
  <si>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</si>
  <si>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</si>
  <si>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</si>
  <si>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</si>
  <si>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</si>
  <si>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</si>
  <si>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</si>
  <si>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</si>
  <si>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</si>
  <si>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</si>
  <si>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</si>
  <si>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</si>
  <si>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</si>
  <si>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</si>
  <si>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</si>
  <si>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</si>
  <si>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</si>
  <si>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</si>
  <si>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</si>
  <si>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</si>
  <si>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</si>
  <si>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</si>
  <si>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</si>
  <si>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</si>
  <si>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</si>
  <si>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</si>
  <si>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</si>
  <si>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</si>
  <si>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</si>
  <si>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</si>
  <si>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</si>
  <si>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</si>
  <si>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</si>
  <si>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</si>
  <si>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</si>
  <si>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</si>
  <si>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</si>
  <si>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</si>
  <si>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</si>
  <si>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</si>
  <si>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</si>
  <si>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</si>
  <si>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</si>
  <si>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</si>
  <si>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</si>
  <si>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</si>
  <si>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</si>
  <si>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</si>
  <si>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</si>
  <si>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</si>
  <si>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</si>
  <si>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</si>
  <si>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</si>
  <si>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</si>
  <si>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</si>
  <si>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</si>
  <si>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</si>
  <si>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</si>
  <si>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</si>
  <si>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</si>
  <si>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</si>
  <si>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</si>
  <si>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</si>
  <si>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</si>
  <si>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</si>
  <si>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</si>
  <si>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</si>
  <si>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</si>
  <si>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</si>
  <si>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</si>
  <si>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</si>
  <si>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</si>
  <si>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</si>
  <si>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</si>
  <si>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</si>
  <si>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</si>
  <si>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</si>
  <si>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</si>
  <si>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</si>
  <si>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</si>
  <si>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</si>
  <si>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</si>
  <si>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</si>
  <si>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</si>
  <si>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</si>
  <si>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</si>
  <si>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</si>
  <si>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</si>
  <si>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</si>
  <si>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</si>
  <si>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</si>
  <si>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</si>
  <si>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</si>
  <si>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</si>
  <si>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</si>
  <si>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</si>
  <si>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</si>
  <si>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</si>
  <si>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</si>
  <si>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</si>
  <si>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</si>
  <si>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</si>
  <si>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</si>
  <si>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</si>
  <si>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</si>
  <si>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</si>
  <si>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</si>
  <si>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</si>
  <si>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</si>
  <si>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</si>
  <si>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</si>
  <si>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</si>
  <si>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</si>
  <si>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</si>
  <si>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</si>
  <si>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</si>
  <si>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</si>
  <si>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</si>
  <si>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</si>
  <si>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</si>
  <si>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</si>
  <si>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</si>
  <si>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</si>
  <si>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</si>
  <si>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</si>
  <si>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</si>
  <si>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</si>
  <si>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</si>
  <si>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</si>
  <si>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</si>
  <si>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</si>
  <si>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</si>
  <si>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</si>
  <si>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</si>
  <si>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</si>
  <si>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</si>
  <si>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</si>
  <si>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</si>
  <si>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</si>
  <si>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</si>
  <si>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</si>
  <si>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</si>
  <si>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</si>
  <si>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</si>
  <si>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</si>
  <si>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</si>
  <si>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</si>
  <si>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</si>
  <si>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</si>
  <si>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</si>
  <si>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</si>
  <si>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</si>
  <si>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</si>
  <si>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</si>
  <si>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</si>
  <si>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</si>
  <si>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</si>
  <si>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</si>
  <si>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</si>
  <si>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</si>
  <si>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</si>
  <si>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</si>
  <si>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</si>
  <si>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</si>
  <si>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</si>
  <si>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</si>
  <si>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</si>
  <si>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</si>
  <si>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</si>
  <si>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</si>
  <si>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</si>
  <si>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</si>
  <si>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</si>
  <si>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</si>
  <si>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</si>
  <si>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</si>
  <si>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</si>
  <si>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</si>
  <si>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</si>
  <si>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</si>
  <si>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</si>
  <si>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</si>
  <si>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</si>
  <si>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</si>
  <si>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</si>
  <si>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</si>
  <si>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</si>
  <si>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</si>
  <si>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</si>
  <si>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</si>
  <si>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</si>
  <si>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</si>
  <si>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</si>
  <si>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</si>
  <si>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</si>
  <si>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</si>
  <si>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</si>
  <si>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</si>
  <si>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</si>
  <si>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</si>
  <si>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</si>
  <si>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</si>
  <si>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</si>
  <si>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</si>
  <si>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</si>
  <si>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</si>
  <si>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</si>
  <si>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</si>
  <si>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</si>
  <si>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</si>
  <si>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</si>
  <si>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</si>
  <si>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</si>
  <si>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</si>
  <si>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</si>
  <si>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</si>
  <si>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</si>
  <si>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</si>
  <si>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</si>
  <si>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</si>
  <si>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</si>
  <si>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</si>
  <si>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</si>
  <si>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</si>
  <si>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</si>
  <si>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</si>
  <si>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</si>
  <si>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</si>
  <si>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</si>
  <si>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</si>
  <si>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</si>
  <si>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</si>
  <si>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</si>
  <si>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</si>
  <si>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</si>
  <si>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</si>
  <si>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</si>
  <si>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</si>
  <si>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</si>
  <si>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</si>
  <si>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</si>
  <si>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</si>
  <si>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</si>
  <si>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</si>
  <si>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</si>
  <si>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</si>
  <si>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</si>
  <si>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</si>
  <si>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</si>
  <si>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</si>
  <si>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</si>
  <si>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</si>
  <si>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</si>
  <si>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</si>
  <si>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</si>
  <si>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</si>
  <si>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</si>
  <si>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</si>
  <si>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</si>
  <si>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</si>
  <si>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</si>
  <si>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</si>
  <si>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</si>
  <si>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</si>
  <si>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</si>
  <si>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</si>
  <si>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</si>
  <si>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</si>
  <si>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</si>
  <si>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</si>
  <si>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</si>
  <si>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</si>
  <si>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</si>
  <si>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</si>
  <si>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</si>
  <si>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</si>
  <si>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</si>
  <si>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</si>
  <si>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</si>
  <si>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</si>
  <si>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</si>
  <si>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</si>
  <si>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</si>
  <si>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</si>
  <si>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</si>
  <si>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</si>
  <si>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</si>
  <si>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</si>
  <si>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</si>
  <si>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</si>
  <si>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</si>
  <si>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</si>
  <si>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</si>
  <si>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</si>
  <si>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</si>
  <si>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</si>
  <si>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</si>
  <si>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</si>
  <si>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</si>
  <si>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</si>
  <si>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</si>
  <si>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</si>
  <si>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</si>
  <si>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</si>
  <si>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</si>
  <si>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</si>
  <si>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</si>
  <si>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</si>
  <si>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</si>
  <si>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</si>
  <si>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</si>
  <si>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</si>
  <si>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</si>
  <si>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</si>
  <si>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</si>
  <si>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</si>
  <si>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</si>
  <si>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</si>
  <si>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</si>
  <si>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</si>
  <si>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</si>
  <si>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</si>
  <si>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</si>
  <si>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</si>
  <si>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</si>
  <si>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</si>
  <si>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</si>
  <si>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</si>
  <si>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</si>
  <si>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</si>
  <si>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</si>
  <si>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</si>
  <si>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</si>
  <si>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</si>
  <si>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</si>
  <si>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</si>
  <si>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</si>
  <si>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</si>
  <si>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</si>
  <si>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</si>
  <si>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</si>
  <si>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</si>
  <si>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</si>
  <si>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</si>
  <si>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</si>
  <si>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</si>
  <si>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</si>
  <si>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</si>
  <si>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</si>
  <si>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</si>
  <si>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</si>
  <si>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</si>
  <si>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</si>
  <si>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</si>
  <si>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</si>
  <si>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</si>
  <si>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</si>
  <si>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</si>
  <si>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</si>
  <si>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</si>
  <si>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</si>
  <si>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</si>
  <si>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</si>
  <si>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</si>
  <si>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</si>
  <si>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</si>
  <si>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</si>
  <si>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</si>
  <si>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</si>
  <si>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</si>
  <si>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</si>
  <si>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</si>
  <si>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</si>
  <si>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</si>
  <si>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</si>
  <si>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</si>
  <si>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</si>
  <si>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</si>
  <si>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</si>
  <si>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</si>
  <si>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</si>
  <si>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</si>
  <si>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</si>
  <si>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</si>
  <si>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</si>
  <si>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</si>
  <si>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</si>
  <si>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</si>
  <si>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</si>
  <si>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</si>
  <si>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</si>
  <si>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</si>
  <si>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</si>
  <si>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</si>
  <si>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</si>
  <si>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</si>
  <si>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</si>
  <si>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</si>
  <si>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</si>
  <si>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</si>
  <si>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</si>
  <si>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</si>
  <si>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</si>
  <si>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</si>
  <si>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</si>
  <si>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</si>
  <si>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</si>
  <si>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</si>
  <si>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</si>
  <si>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</si>
  <si>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</si>
  <si>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</si>
  <si>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</si>
  <si>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</si>
  <si>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</si>
  <si>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</si>
  <si>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</si>
  <si>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</si>
  <si>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</si>
  <si>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</si>
  <si>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</si>
  <si>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</si>
  <si>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</si>
  <si>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</si>
  <si>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</si>
  <si>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</si>
  <si>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</si>
  <si>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</si>
  <si>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</si>
  <si>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</si>
  <si>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</si>
  <si>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</si>
  <si>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</si>
  <si>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</si>
  <si>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</si>
  <si>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</si>
  <si>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</si>
  <si>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</si>
  <si>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</si>
  <si>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</si>
  <si>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</si>
  <si>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</si>
  <si>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</si>
  <si>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</si>
  <si>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</si>
  <si>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</si>
  <si>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</si>
  <si>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</si>
  <si>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</si>
  <si>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</si>
  <si>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</si>
  <si>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</si>
  <si>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</si>
  <si>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</si>
  <si>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</si>
  <si>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</si>
  <si>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</si>
  <si>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</si>
  <si>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</si>
  <si>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</si>
  <si>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</si>
  <si>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</si>
  <si>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</si>
  <si>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</si>
  <si>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</si>
  <si>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</si>
  <si>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</si>
  <si>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</si>
  <si>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</si>
  <si>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</si>
  <si>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</si>
  <si>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</si>
  <si>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</si>
  <si>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</si>
  <si>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</si>
  <si>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</si>
  <si>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</si>
  <si>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</si>
  <si>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</si>
  <si>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</si>
  <si>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</si>
  <si>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</si>
  <si>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</si>
  <si>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</si>
  <si>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</si>
  <si>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</si>
  <si>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</si>
  <si>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</si>
  <si>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</si>
  <si>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</si>
  <si>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</si>
  <si>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</si>
  <si>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</si>
  <si>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</si>
  <si>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</si>
  <si>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</si>
  <si>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</si>
  <si>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</si>
  <si>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</si>
  <si>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</si>
  <si>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</si>
  <si>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</si>
  <si>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</si>
  <si>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</si>
  <si>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</si>
  <si>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</si>
  <si>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</si>
  <si>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</si>
  <si>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</si>
  <si>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</si>
  <si>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</si>
  <si>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</si>
  <si>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</si>
  <si>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</si>
  <si>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</si>
  <si>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</si>
  <si>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</si>
  <si>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</si>
  <si>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</si>
  <si>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</si>
  <si>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</si>
  <si>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</si>
  <si>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</si>
  <si>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</si>
  <si>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</si>
  <si>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</si>
  <si>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</si>
  <si>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</si>
  <si>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</si>
  <si>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</si>
  <si>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</si>
  <si>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</si>
  <si>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</si>
  <si>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</si>
  <si>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</si>
  <si>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</si>
  <si>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</si>
  <si>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</si>
  <si>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</si>
  <si>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</si>
  <si>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</si>
  <si>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</si>
  <si>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</si>
  <si>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</si>
  <si>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</si>
  <si>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</si>
  <si>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</si>
  <si>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</si>
  <si>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</si>
  <si>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</si>
  <si>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</si>
  <si>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</si>
  <si>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</si>
  <si>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</si>
  <si>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</si>
  <si>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</si>
  <si>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</si>
  <si>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</si>
  <si>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</si>
  <si>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</si>
  <si>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</si>
  <si>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</si>
  <si>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</si>
  <si>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</si>
  <si>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</si>
  <si>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</si>
  <si>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</si>
  <si>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</si>
  <si>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</si>
  <si>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</si>
  <si>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</si>
  <si>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</si>
  <si>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</si>
  <si>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</si>
  <si>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</si>
  <si>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</si>
  <si>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</si>
  <si>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</si>
  <si>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</si>
  <si>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</si>
  <si>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</si>
  <si>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</si>
  <si>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</si>
  <si>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</si>
  <si>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</si>
  <si>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</si>
  <si>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</si>
  <si>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</si>
  <si>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</si>
  <si>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</si>
  <si>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</si>
  <si>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</si>
  <si>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</si>
  <si>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</si>
  <si>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</si>
  <si>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</si>
  <si>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</si>
  <si>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</si>
  <si>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</si>
  <si>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</si>
  <si>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</si>
  <si>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ZAMORA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</si>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</sst>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sv6Uy1L+Z2NdSQ2BR1yl5Z/3wNqYgYOZKAmHyz8x5KKmB5kHyQPcdhcn/X9or5YpHoo6QJfuJ6j3mDa2sMmKw==" saltValue="AxDUQcFkM1BnnBoKyUIE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0</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19.184049079754601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1371</v>
      </c>
      <c r="D16" s="225">
        <f>IF(ISNUMBER(IF(D_I="SI",Datos!I16,Datos!I16+Datos!AC16)),IF(D_I="SI",Datos!I16,Datos!I16+Datos!AC16)," - ")</f>
        <v>1348</v>
      </c>
      <c r="E16" s="226">
        <f>IF(ISNUMBER(IF(D_I="SI",Datos!J16,Datos!J16+Datos!AD16)),IF(D_I="SI",Datos!J16,Datos!J16+Datos!AD16)," - ")</f>
        <v>1221</v>
      </c>
      <c r="F16" s="226">
        <f>IF(ISNUMBER(IF(D_I="SI",Datos!K16,Datos!K16+Datos!AE16)),IF(D_I="SI",Datos!K16,Datos!K16+Datos!AE16)," - ")</f>
        <v>1295</v>
      </c>
      <c r="G16" s="1034" t="str">
        <f>IF(Datos!E16&lt;&gt;"",Datos!E16,Datos!D16)</f>
        <v>04</v>
      </c>
      <c r="H16" s="227">
        <f>IF(ISNUMBER(IF(D_I="SI",Datos!L16,Datos!L16+Datos!AF16)),IF(D_I="SI",Datos!L16,Datos!L16+Datos!AF16)," - ")</f>
        <v>1297</v>
      </c>
      <c r="I16" s="1044" t="str">
        <f>IF(ISNUMBER(Datos!AS16/Datos!BM16),Datos!AS16/Datos!BM16," - ")</f>
        <v xml:space="preserve"> - </v>
      </c>
      <c r="J16" s="1045">
        <f>IF(ISNUMBER(Datos!BY16/Datos!CN16),Datos!BY16/Datos!CN16," - ")</f>
        <v>0</v>
      </c>
      <c r="K16" s="230">
        <f t="shared" si="3"/>
        <v>-5.3975200583515681E-2</v>
      </c>
      <c r="L16" s="1025">
        <f>IF(ISNUMBER(NºAsuntos!I16/NºAsuntos!G16),(NºAsuntos!I16/NºAsuntos!G16)*11," - ")</f>
        <v>11.016988416988417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170</v>
      </c>
      <c r="D17" s="225">
        <f>IF(ISNUMBER(IF(D_I="SI",Datos!I17,Datos!I17+Datos!AC17)),IF(D_I="SI",Datos!I17,Datos!I17+Datos!AC17)," - ")</f>
        <v>169</v>
      </c>
      <c r="E17" s="226">
        <f>IF(ISNUMBER(IF(D_I="SI",Datos!J17,Datos!J17+Datos!AD17)),IF(D_I="SI",Datos!J17,Datos!J17+Datos!AD17)," - ")</f>
        <v>77</v>
      </c>
      <c r="F17" s="226">
        <f>IF(ISNUMBER(IF(D_I="SI",Datos!K17,Datos!K17+Datos!AE17)),IF(D_I="SI",Datos!K17,Datos!K17+Datos!AE17)," - ")</f>
        <v>66</v>
      </c>
      <c r="G17" s="1034" t="str">
        <f>IF(Datos!E17&lt;&gt;"",Datos!E17,Datos!D17)</f>
        <v>37</v>
      </c>
      <c r="H17" s="227">
        <f>IF(ISNUMBER(IF(D_I="SI",Datos!L17,Datos!L17+Datos!AF17)),IF(D_I="SI",Datos!L17,Datos!L17+Datos!AF17)," - ")</f>
        <v>181</v>
      </c>
      <c r="I17" s="1044" t="str">
        <f>IF(ISNUMBER(Datos!AS17/Datos!BM17),Datos!AS17/Datos!BM17," - ")</f>
        <v xml:space="preserve"> - </v>
      </c>
      <c r="J17" s="1045" t="str">
        <f>IF(ISNUMBER((Datos!BY17+Datos!BZ17)/Datos!CN17),(Datos!BY17+Datos!BZ17)/Datos!CN17," - ")</f>
        <v xml:space="preserve"> - </v>
      </c>
      <c r="K17" s="230">
        <f t="shared" si="3"/>
        <v>6.4705882352941183E-2</v>
      </c>
      <c r="L17" s="1025">
        <f>IF(ISNUMBER(NºAsuntos!I17/NºAsuntos!G17),(NºAsuntos!I17/NºAsuntos!G17)*11," - ")</f>
        <v>30.166666666666664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1541</v>
      </c>
      <c r="D18" s="1049">
        <f>SUBTOTAL(9,D15:D17)</f>
        <v>1517</v>
      </c>
      <c r="E18" s="1050">
        <f>SUBTOTAL(9,E15:E17)</f>
        <v>1298</v>
      </c>
      <c r="F18" s="1050">
        <f>SUBTOTAL(9,F15:F17)</f>
        <v>1361</v>
      </c>
      <c r="G18" s="1052" t="str">
        <f ca="1">INDIRECT(CONCATENATE("G",ROW()-1))</f>
        <v>37</v>
      </c>
      <c r="H18" s="1053">
        <f ca="1">SUMIF(G$14:G17,G18,H$14:H17)</f>
        <v>181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1546</v>
      </c>
      <c r="D19" s="1071">
        <f>SUBTOTAL(9,D9:D18)</f>
        <v>1522</v>
      </c>
      <c r="E19" s="1072">
        <f>SUBTOTAL(9,E9:E18)</f>
        <v>1299</v>
      </c>
      <c r="F19" s="1072">
        <f>SUBTOTAL(9,F9:F18)</f>
        <v>1361</v>
      </c>
      <c r="G19" s="1073"/>
      <c r="H19" s="1074">
        <f ca="1">SUMIF(B9:B18,"TOTAL",H9:H18)</f>
        <v>181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Suzb8dNRX7vJpCs/I34FlS4h+Ojk+z2NmSZxKL/ou1pa5A9fDVgNLDP9oe06XHphNhERVy+dCnipxE+Z9YnMA==" saltValue="UsCrDmDu3eGFb3Z/HPez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9EKQiwNSm4TUHhbDJh77qdn3Y9C0AFZ8Cd9/Wq4ZFK0+EgAReW6XHOzCQD6r+NJtCPrel/Sr3sQ5TvLkXaQzA==" saltValue="6L75v7Q7qr1hJoXXcwA9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0</v>
      </c>
      <c r="L10" s="181">
        <v>6</v>
      </c>
      <c r="M10" s="181">
        <v>0</v>
      </c>
      <c r="N10" s="181">
        <v>0</v>
      </c>
      <c r="O10" s="181">
        <v>0</v>
      </c>
      <c r="P10" s="181">
        <v>0</v>
      </c>
      <c r="Q10" s="181">
        <v>1</v>
      </c>
      <c r="R10" s="181">
        <v>0</v>
      </c>
      <c r="S10" s="181">
        <v>17</v>
      </c>
      <c r="T10" s="181">
        <v>4</v>
      </c>
      <c r="U10" s="181">
        <v>7</v>
      </c>
      <c r="V10" s="181">
        <v>14</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4</v>
      </c>
      <c r="BA10" s="129">
        <f t="shared" si="0"/>
        <v>7</v>
      </c>
      <c r="BB10" s="129">
        <f t="shared" si="0"/>
        <v>14</v>
      </c>
      <c r="BC10" s="125">
        <f t="shared" si="0"/>
        <v>2</v>
      </c>
      <c r="BD10" s="126">
        <f>IF(ISNUMBER(BA10/AZ10),BA10/AZ10," - ")</f>
        <v>1.75</v>
      </c>
      <c r="BE10" s="127">
        <f>IF(ISNUMBER(BB10/BA10),BB10/BA10, " - ")</f>
        <v>2</v>
      </c>
      <c r="BF10" s="127">
        <f>IF(ISNUMBER(BC10/BA10),BC10/BA10, " - ")</f>
        <v>0.2857142857142857</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3329</v>
      </c>
      <c r="J12" s="183">
        <v>1384</v>
      </c>
      <c r="K12" s="183">
        <v>1700</v>
      </c>
      <c r="L12" s="183">
        <v>3013</v>
      </c>
      <c r="M12" s="183">
        <v>743</v>
      </c>
      <c r="N12" s="183">
        <v>540</v>
      </c>
      <c r="O12" s="181">
        <v>656</v>
      </c>
      <c r="P12" s="183">
        <v>378</v>
      </c>
      <c r="Q12" s="183">
        <v>648</v>
      </c>
      <c r="R12" s="183">
        <v>4099</v>
      </c>
      <c r="S12" s="183">
        <v>3353</v>
      </c>
      <c r="T12" s="183">
        <v>1159</v>
      </c>
      <c r="U12" s="183">
        <v>1088</v>
      </c>
      <c r="V12" s="183">
        <v>3424</v>
      </c>
      <c r="W12" s="183">
        <v>294</v>
      </c>
      <c r="X12" s="189">
        <v>446</v>
      </c>
      <c r="Y12" s="191">
        <v>100</v>
      </c>
      <c r="Z12" s="181">
        <v>107</v>
      </c>
      <c r="AA12" s="181">
        <v>93</v>
      </c>
      <c r="AB12" s="181">
        <v>114</v>
      </c>
      <c r="AC12" s="183">
        <v>0</v>
      </c>
      <c r="AD12" s="183">
        <v>0</v>
      </c>
      <c r="AE12" s="183">
        <v>0</v>
      </c>
      <c r="AF12" s="189">
        <v>0</v>
      </c>
      <c r="AG12" s="202">
        <v>136</v>
      </c>
      <c r="AH12" s="183">
        <v>123</v>
      </c>
      <c r="AI12" s="183">
        <v>118</v>
      </c>
      <c r="AJ12" s="203">
        <v>141</v>
      </c>
      <c r="AK12" s="182">
        <v>0</v>
      </c>
      <c r="AL12" s="183">
        <v>0</v>
      </c>
      <c r="AM12" s="183">
        <v>0</v>
      </c>
      <c r="AN12" s="189">
        <v>0</v>
      </c>
      <c r="AO12" s="259">
        <v>6</v>
      </c>
      <c r="AP12" s="155">
        <v>6</v>
      </c>
      <c r="AQ12" s="155">
        <v>6</v>
      </c>
      <c r="AR12" s="154">
        <v>6</v>
      </c>
      <c r="AS12" s="340" t="s">
        <v>802</v>
      </c>
      <c r="AT12" s="203"/>
      <c r="AU12" s="202"/>
      <c r="AV12" s="203"/>
      <c r="AW12" s="202"/>
      <c r="AX12" s="203"/>
      <c r="AY12" s="126">
        <f t="shared" si="1"/>
        <v>3489</v>
      </c>
      <c r="AZ12" s="127">
        <f t="shared" si="1"/>
        <v>1282</v>
      </c>
      <c r="BA12" s="127">
        <f t="shared" si="1"/>
        <v>1206</v>
      </c>
      <c r="BB12" s="127">
        <f t="shared" si="1"/>
        <v>3565</v>
      </c>
      <c r="BC12" s="125">
        <f>IF(ISNUMBER(X12),X12," - ")</f>
        <v>446</v>
      </c>
      <c r="BD12" s="126">
        <f t="shared" si="2"/>
        <v>0.94071762870514819</v>
      </c>
      <c r="BE12" s="127">
        <f t="shared" si="3"/>
        <v>2.9560530679933663</v>
      </c>
      <c r="BF12" s="127">
        <f t="shared" si="4"/>
        <v>0.36981757877280264</v>
      </c>
      <c r="BG12" s="196">
        <f t="shared" si="5"/>
        <v>3.9560530679933663</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3334</v>
      </c>
      <c r="J13" s="184">
        <f t="shared" si="6"/>
        <v>1385</v>
      </c>
      <c r="K13" s="184">
        <f t="shared" si="6"/>
        <v>1700</v>
      </c>
      <c r="L13" s="184">
        <f t="shared" si="6"/>
        <v>3019</v>
      </c>
      <c r="M13" s="184">
        <f t="shared" si="6"/>
        <v>743</v>
      </c>
      <c r="N13" s="184">
        <f t="shared" si="6"/>
        <v>540</v>
      </c>
      <c r="O13" s="184">
        <f t="shared" si="6"/>
        <v>656</v>
      </c>
      <c r="P13" s="184">
        <f t="shared" si="6"/>
        <v>378</v>
      </c>
      <c r="Q13" s="184">
        <f t="shared" si="6"/>
        <v>649</v>
      </c>
      <c r="R13" s="184">
        <f t="shared" si="6"/>
        <v>4099</v>
      </c>
      <c r="S13" s="184">
        <f t="shared" si="6"/>
        <v>3370</v>
      </c>
      <c r="T13" s="184">
        <f t="shared" si="6"/>
        <v>1163</v>
      </c>
      <c r="U13" s="184">
        <f t="shared" si="6"/>
        <v>1095</v>
      </c>
      <c r="V13" s="184">
        <f t="shared" si="6"/>
        <v>3438</v>
      </c>
      <c r="W13" s="184">
        <f t="shared" si="6"/>
        <v>296</v>
      </c>
      <c r="X13" s="184">
        <f t="shared" si="6"/>
        <v>448</v>
      </c>
      <c r="Y13" s="184">
        <f t="shared" si="6"/>
        <v>100</v>
      </c>
      <c r="Z13" s="184">
        <f t="shared" si="6"/>
        <v>107</v>
      </c>
      <c r="AA13" s="184">
        <f t="shared" si="6"/>
        <v>93</v>
      </c>
      <c r="AB13" s="184">
        <f t="shared" si="6"/>
        <v>114</v>
      </c>
      <c r="AC13" s="184">
        <f t="shared" si="6"/>
        <v>0</v>
      </c>
      <c r="AD13" s="184">
        <f t="shared" si="6"/>
        <v>0</v>
      </c>
      <c r="AE13" s="184">
        <f t="shared" si="6"/>
        <v>0</v>
      </c>
      <c r="AF13" s="184">
        <f>SUBTOTAL(9,AF9:AF12)</f>
        <v>0</v>
      </c>
      <c r="AG13" s="184">
        <f t="shared" ref="AG13:AT13" si="7">SUBTOTAL(9,AG8:AG12)</f>
        <v>136</v>
      </c>
      <c r="AH13" s="184">
        <f t="shared" si="7"/>
        <v>123</v>
      </c>
      <c r="AI13" s="184">
        <f t="shared" si="7"/>
        <v>118</v>
      </c>
      <c r="AJ13" s="184">
        <f t="shared" si="7"/>
        <v>141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3506</v>
      </c>
      <c r="AZ13" s="184">
        <f>SUBTOTAL(9,AZ8:AZ12)</f>
        <v>1286</v>
      </c>
      <c r="BA13" s="184">
        <f>SUBTOTAL(9,BA8:BA12)</f>
        <v>1213</v>
      </c>
      <c r="BB13" s="184">
        <f>SUBTOTAL(9,BB8:BB12)</f>
        <v>3579</v>
      </c>
      <c r="BC13" s="184">
        <f>SUBTOTAL(9,BC8:BC12)</f>
        <v>448</v>
      </c>
      <c r="BD13" s="205">
        <f>IF(ISNUMBER(BA13/AZ13),BA13/AZ13," - ")</f>
        <v>0.94323483670295494</v>
      </c>
      <c r="BE13" s="206">
        <f>IF(ISNUMBER(BB13/BA13),BB13/BA13, " - ")</f>
        <v>2.9505358615004122</v>
      </c>
      <c r="BF13" s="206">
        <f>IF(ISNUMBER(BC13/BA13),BC13/BA13, " - ")</f>
        <v>0.36933223413025557</v>
      </c>
      <c r="BG13" s="207">
        <f>IF(ISNUMBER((AY13+AZ13)/BA13),(AY13+AZ13)/BA13," - ")</f>
        <v>3.9505358615004122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1348</v>
      </c>
      <c r="J16" s="183">
        <v>1221</v>
      </c>
      <c r="K16" s="183">
        <v>1295</v>
      </c>
      <c r="L16" s="183">
        <v>1297</v>
      </c>
      <c r="M16" s="183">
        <v>175</v>
      </c>
      <c r="N16" s="183">
        <v>703</v>
      </c>
      <c r="O16" s="181">
        <v>46</v>
      </c>
      <c r="P16" s="183">
        <v>64</v>
      </c>
      <c r="Q16" s="183">
        <v>49</v>
      </c>
      <c r="R16" s="183">
        <v>189</v>
      </c>
      <c r="S16" s="183">
        <v>1796</v>
      </c>
      <c r="T16" s="183">
        <v>1320</v>
      </c>
      <c r="U16" s="183">
        <v>1457</v>
      </c>
      <c r="V16" s="183">
        <v>1669</v>
      </c>
      <c r="W16" s="183">
        <v>136</v>
      </c>
      <c r="X16" s="189">
        <v>819</v>
      </c>
      <c r="Y16" s="202">
        <v>0</v>
      </c>
      <c r="Z16" s="183">
        <v>0</v>
      </c>
      <c r="AA16" s="183">
        <v>0</v>
      </c>
      <c r="AB16" s="183">
        <v>0</v>
      </c>
      <c r="AC16" s="183">
        <v>0</v>
      </c>
      <c r="AD16" s="183">
        <v>88</v>
      </c>
      <c r="AE16" s="183">
        <v>88</v>
      </c>
      <c r="AF16" s="189">
        <v>0</v>
      </c>
      <c r="AG16" s="202">
        <v>0</v>
      </c>
      <c r="AH16" s="183">
        <v>0</v>
      </c>
      <c r="AI16" s="183">
        <v>0</v>
      </c>
      <c r="AJ16" s="203">
        <v>0</v>
      </c>
      <c r="AK16" s="182">
        <v>0</v>
      </c>
      <c r="AL16" s="183">
        <v>35</v>
      </c>
      <c r="AM16" s="183">
        <v>35</v>
      </c>
      <c r="AN16" s="189">
        <v>0</v>
      </c>
      <c r="AO16" s="259">
        <v>6</v>
      </c>
      <c r="AP16" s="155">
        <v>6</v>
      </c>
      <c r="AQ16" s="155">
        <v>6</v>
      </c>
      <c r="AR16" s="155">
        <v>6</v>
      </c>
      <c r="AS16" s="340" t="s">
        <v>487</v>
      </c>
      <c r="AT16" s="203"/>
      <c r="AU16" s="202"/>
      <c r="AV16" s="203"/>
      <c r="AW16" s="202"/>
      <c r="AX16" s="203"/>
      <c r="AY16" s="126">
        <f t="shared" si="9"/>
        <v>1796</v>
      </c>
      <c r="AZ16" s="127">
        <f t="shared" si="9"/>
        <v>1320</v>
      </c>
      <c r="BA16" s="127">
        <f t="shared" si="9"/>
        <v>1457</v>
      </c>
      <c r="BB16" s="127">
        <f t="shared" si="9"/>
        <v>1669</v>
      </c>
      <c r="BC16" s="125">
        <f>IF(ISNUMBER(W16),W16," - ")</f>
        <v>136</v>
      </c>
      <c r="BD16" s="126">
        <f t="shared" ref="BD16" si="11">IF(ISNUMBER(BA16/AZ16),BA16/AZ16," - ")</f>
        <v>1.1037878787878788</v>
      </c>
      <c r="BE16" s="127">
        <f t="shared" ref="BE16" si="12">IF(ISNUMBER(BB16/BA16),BB16/BA16, " - ")</f>
        <v>1.1455044612216885</v>
      </c>
      <c r="BF16" s="127">
        <f t="shared" ref="BF16" si="13">IF(ISNUMBER(BC16/BA16),BC16/BA16, " - ")</f>
        <v>9.3342484557309535E-2</v>
      </c>
      <c r="BG16" s="196">
        <f t="shared" si="10"/>
        <v>2.1386410432395331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169</v>
      </c>
      <c r="J17" s="183">
        <v>77</v>
      </c>
      <c r="K17" s="183">
        <v>66</v>
      </c>
      <c r="L17" s="183">
        <v>181</v>
      </c>
      <c r="M17" s="183">
        <v>0</v>
      </c>
      <c r="N17" s="183">
        <v>41</v>
      </c>
      <c r="O17" s="183">
        <v>0</v>
      </c>
      <c r="P17" s="183">
        <v>1</v>
      </c>
      <c r="Q17" s="183">
        <v>0</v>
      </c>
      <c r="R17" s="183">
        <v>3</v>
      </c>
      <c r="S17" s="183">
        <v>107</v>
      </c>
      <c r="T17" s="183">
        <v>78</v>
      </c>
      <c r="U17" s="183">
        <v>58</v>
      </c>
      <c r="V17" s="183">
        <v>127</v>
      </c>
      <c r="W17" s="183">
        <v>1</v>
      </c>
      <c r="X17" s="189">
        <v>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107</v>
      </c>
      <c r="AZ17" s="129">
        <f t="shared" si="14"/>
        <v>78</v>
      </c>
      <c r="BA17" s="129">
        <f t="shared" si="14"/>
        <v>58</v>
      </c>
      <c r="BB17" s="129">
        <f t="shared" si="14"/>
        <v>127</v>
      </c>
      <c r="BC17" s="125">
        <f>IF(ISNUMBER(W17),W17," - ")</f>
        <v>1</v>
      </c>
      <c r="BD17" s="126">
        <f>IF(ISNUMBER(BA17/AZ17),BA17/AZ17," - ")</f>
        <v>0.74358974358974361</v>
      </c>
      <c r="BE17" s="127">
        <f>IF(ISNUMBER(BB17/BA17),BB17/BA17, " - ")</f>
        <v>2.1896551724137931</v>
      </c>
      <c r="BF17" s="127">
        <f>IF(ISNUMBER(BC17/BA17),BC17/BA17, " - ")</f>
        <v>1.7241379310344827E-2</v>
      </c>
      <c r="BG17" s="196">
        <f>IF(ISNUMBER((AY17+AZ17)/BA17),(AY17+AZ17)/BA17," - ")</f>
        <v>3.1896551724137931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1517</v>
      </c>
      <c r="J18" s="184">
        <f t="shared" si="15"/>
        <v>1298</v>
      </c>
      <c r="K18" s="184">
        <f t="shared" si="15"/>
        <v>1361</v>
      </c>
      <c r="L18" s="184">
        <f t="shared" si="15"/>
        <v>1478</v>
      </c>
      <c r="M18" s="184">
        <f t="shared" si="15"/>
        <v>175</v>
      </c>
      <c r="N18" s="184">
        <f t="shared" si="15"/>
        <v>744</v>
      </c>
      <c r="O18" s="184">
        <f t="shared" si="15"/>
        <v>46</v>
      </c>
      <c r="P18" s="184">
        <f t="shared" si="15"/>
        <v>65</v>
      </c>
      <c r="Q18" s="184">
        <f t="shared" si="15"/>
        <v>49</v>
      </c>
      <c r="R18" s="184">
        <f t="shared" si="15"/>
        <v>192</v>
      </c>
      <c r="S18" s="184">
        <f t="shared" si="15"/>
        <v>1903</v>
      </c>
      <c r="T18" s="184">
        <f t="shared" si="15"/>
        <v>1398</v>
      </c>
      <c r="U18" s="184">
        <f t="shared" si="15"/>
        <v>1515</v>
      </c>
      <c r="V18" s="184">
        <f t="shared" si="15"/>
        <v>1796</v>
      </c>
      <c r="W18" s="184">
        <f t="shared" si="15"/>
        <v>137</v>
      </c>
      <c r="X18" s="184">
        <f t="shared" si="15"/>
        <v>876</v>
      </c>
      <c r="Y18" s="184">
        <f t="shared" si="15"/>
        <v>0</v>
      </c>
      <c r="Z18" s="184">
        <f t="shared" si="15"/>
        <v>0</v>
      </c>
      <c r="AA18" s="184">
        <f t="shared" si="15"/>
        <v>0</v>
      </c>
      <c r="AB18" s="184">
        <f t="shared" si="15"/>
        <v>0</v>
      </c>
      <c r="AC18" s="184">
        <f t="shared" si="15"/>
        <v>0</v>
      </c>
      <c r="AD18" s="184">
        <f t="shared" si="15"/>
        <v>88</v>
      </c>
      <c r="AE18" s="184">
        <f t="shared" si="15"/>
        <v>88</v>
      </c>
      <c r="AF18" s="184">
        <f t="shared" si="15"/>
        <v>0</v>
      </c>
      <c r="AG18" s="184">
        <f t="shared" si="15"/>
        <v>0</v>
      </c>
      <c r="AH18" s="184">
        <f t="shared" si="15"/>
        <v>0</v>
      </c>
      <c r="AI18" s="184">
        <f t="shared" si="15"/>
        <v>0</v>
      </c>
      <c r="AJ18" s="184">
        <f t="shared" si="15"/>
        <v>0</v>
      </c>
      <c r="AK18" s="184">
        <f t="shared" si="15"/>
        <v>0</v>
      </c>
      <c r="AL18" s="184">
        <f t="shared" si="15"/>
        <v>35</v>
      </c>
      <c r="AM18" s="184">
        <f t="shared" si="15"/>
        <v>35</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1903</v>
      </c>
      <c r="AZ18" s="184">
        <f>SUBTOTAL(9,AZ14:AZ17)</f>
        <v>1398</v>
      </c>
      <c r="BA18" s="184">
        <f>SUBTOTAL(9,BA14:BA17)</f>
        <v>1515</v>
      </c>
      <c r="BB18" s="184">
        <f>SUBTOTAL(9,BB14:BB17)</f>
        <v>1796</v>
      </c>
      <c r="BC18" s="184">
        <f>SUBTOTAL(9,BC14:BC17)</f>
        <v>137</v>
      </c>
      <c r="BD18" s="205">
        <f>IF(ISNUMBER(BA18/AZ18),BA18/AZ18," - ")</f>
        <v>1.0836909871244635</v>
      </c>
      <c r="BE18" s="206">
        <f>IF(ISNUMBER(BB18/BA18),BB18/BA18, " - ")</f>
        <v>1.1854785478547856</v>
      </c>
      <c r="BF18" s="206">
        <f>IF(ISNUMBER(BC18/BA18),BC18/BA18, " - ")</f>
        <v>9.0429042904290435E-2</v>
      </c>
      <c r="BG18" s="207">
        <f>IF(ISNUMBER((AY18+AZ18)/BA18),(AY18+AZ18)/BA18," - ")</f>
        <v>2.1788778877887789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4851</v>
      </c>
      <c r="J19" s="134">
        <f t="shared" si="18"/>
        <v>2683</v>
      </c>
      <c r="K19" s="134">
        <f t="shared" si="18"/>
        <v>3061</v>
      </c>
      <c r="L19" s="134">
        <f t="shared" si="18"/>
        <v>4497</v>
      </c>
      <c r="M19" s="134">
        <f t="shared" si="18"/>
        <v>918</v>
      </c>
      <c r="N19" s="134">
        <f t="shared" si="18"/>
        <v>1284</v>
      </c>
      <c r="O19" s="134">
        <f t="shared" si="18"/>
        <v>702</v>
      </c>
      <c r="P19" s="134">
        <f t="shared" si="18"/>
        <v>443</v>
      </c>
      <c r="Q19" s="134">
        <f t="shared" si="18"/>
        <v>698</v>
      </c>
      <c r="R19" s="134">
        <f t="shared" si="18"/>
        <v>4291</v>
      </c>
      <c r="S19" s="134">
        <f t="shared" si="18"/>
        <v>5273</v>
      </c>
      <c r="T19" s="134">
        <f t="shared" si="18"/>
        <v>2561</v>
      </c>
      <c r="U19" s="134">
        <f t="shared" si="18"/>
        <v>2610</v>
      </c>
      <c r="V19" s="134">
        <f t="shared" si="18"/>
        <v>5234</v>
      </c>
      <c r="W19" s="134">
        <f t="shared" si="18"/>
        <v>433</v>
      </c>
      <c r="X19" s="134">
        <f t="shared" si="18"/>
        <v>1324</v>
      </c>
      <c r="Y19" s="134">
        <f t="shared" si="18"/>
        <v>100</v>
      </c>
      <c r="Z19" s="134">
        <f t="shared" si="18"/>
        <v>107</v>
      </c>
      <c r="AA19" s="134">
        <f t="shared" si="18"/>
        <v>93</v>
      </c>
      <c r="AB19" s="134">
        <f t="shared" si="18"/>
        <v>114</v>
      </c>
      <c r="AC19" s="134">
        <f t="shared" si="18"/>
        <v>0</v>
      </c>
      <c r="AD19" s="134">
        <f t="shared" si="18"/>
        <v>88</v>
      </c>
      <c r="AE19" s="134">
        <f t="shared" si="18"/>
        <v>88</v>
      </c>
      <c r="AF19" s="134">
        <f t="shared" si="18"/>
        <v>0</v>
      </c>
      <c r="AG19" s="134">
        <f t="shared" si="18"/>
        <v>136</v>
      </c>
      <c r="AH19" s="134">
        <f t="shared" si="18"/>
        <v>123</v>
      </c>
      <c r="AI19" s="134">
        <f t="shared" si="18"/>
        <v>118</v>
      </c>
      <c r="AJ19" s="134">
        <f t="shared" si="18"/>
        <v>141</v>
      </c>
      <c r="AK19" s="134">
        <f t="shared" si="18"/>
        <v>0</v>
      </c>
      <c r="AL19" s="134">
        <f t="shared" si="18"/>
        <v>35</v>
      </c>
      <c r="AM19" s="134">
        <f t="shared" si="18"/>
        <v>35</v>
      </c>
      <c r="AN19" s="210">
        <f t="shared" si="18"/>
        <v>0</v>
      </c>
      <c r="AO19" s="211">
        <v>7</v>
      </c>
      <c r="AP19" s="211">
        <v>6</v>
      </c>
      <c r="AQ19" s="211">
        <v>6</v>
      </c>
      <c r="AR19" s="211">
        <v>6</v>
      </c>
      <c r="AS19" s="153">
        <f t="shared" si="18"/>
        <v>0</v>
      </c>
      <c r="AT19" s="153">
        <f t="shared" si="18"/>
        <v>0</v>
      </c>
      <c r="AU19" s="211"/>
      <c r="AV19" s="212"/>
      <c r="AW19" s="211"/>
      <c r="AX19" s="212"/>
      <c r="AY19" s="133">
        <f>SUBTOTAL(9,AY9:AY18)</f>
        <v>5409</v>
      </c>
      <c r="AZ19" s="134">
        <f>SUBTOTAL(9,AZ9:AZ18)</f>
        <v>2684</v>
      </c>
      <c r="BA19" s="134">
        <f>SUBTOTAL(9,BA9:BA18)</f>
        <v>2728</v>
      </c>
      <c r="BB19" s="134">
        <f>SUBTOTAL(9,BB9:BB18)</f>
        <v>5375</v>
      </c>
      <c r="BC19" s="135">
        <f>SUBTOTAL(9,BC9:BC18)</f>
        <v>585</v>
      </c>
      <c r="BD19" s="213">
        <f>IF(ISNUMBER(BA19/AZ19),BA19/AZ19," - ")</f>
        <v>1.0163934426229508</v>
      </c>
      <c r="BE19" s="210">
        <f>IF(ISNUMBER(BB19/BA19),BB19/BA19, " - ")</f>
        <v>1.970307917888563</v>
      </c>
      <c r="BF19" s="210">
        <f>IF(ISNUMBER(BC19/BA19),BC19/BA19, " - ")</f>
        <v>0.21444281524926687</v>
      </c>
      <c r="BG19" s="135">
        <f>IF(ISNUMBER((AY19+AZ19)/BA19),(AY19+AZ19)/BA19," - ")</f>
        <v>2.9666422287390031</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SSCiQYg9m39ur8iCdUz59FkRmVWY+LkeIkqX/mnn0ppxsb8o/EiIu5V9a83/uycHjA8MlZFWCDYYj8wPPvjBA==" saltValue="qPKjFyZF3Z/w5mCie/fP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cl5mEFEQtmsQrQ10jfa7T4KCQ+hjuIpcaUg/wedzOUv9e0DFt6nehVF2MidLHdeeUwRwv8kcDzANbYlQnZnVA==" saltValue="DjS94lnWFGXRuTM3j2Og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ZAMORA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v>
      </c>
      <c r="O12" s="334"/>
      <c r="P12" s="334"/>
      <c r="Q12" s="226">
        <f>IF(ISNUMBER(Datos!P12),Datos!P12,0)</f>
        <v>378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114</v>
      </c>
      <c r="AI12" s="334" t="str">
        <f>IF(ISNUMBER(Datos!CD12),Datos!CD12,"-")</f>
        <v>-</v>
      </c>
      <c r="AJ12" s="334" t="str">
        <f>IF(ISNUMBER(Datos!EN12),Datos!EN12," - ")</f>
        <v xml:space="preserve"> - </v>
      </c>
      <c r="AK12" s="334"/>
      <c r="AL12" s="479"/>
      <c r="AM12" s="335">
        <f>IF(ISNUMBER(Datos!R12),Datos!R12," - ")</f>
        <v>4099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743</v>
      </c>
      <c r="BD12" s="229">
        <f>IF(ISNUMBER(Datos!N12),Datos!N12," - ")</f>
        <v>540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1.2025486250838364</v>
      </c>
      <c r="BH12" s="260">
        <f>IF(ISNUMBER(((IF(J_V="SI",Datos!L12/Datos!K12,(Datos!L12+Datos!AB12)/(Datos!K12+Datos!AA12)))*11)/factor_trimestre),((IF(J_V="SI",Datos!L12/Datos!K12,(Datos!L12+Datos!AB12)/(Datos!K12+Datos!AA12)))*11)/factor_trimestre," - ")</f>
        <v>5.232013385387619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-6.1799038681620511E-2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378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649</v>
      </c>
      <c r="AD13" s="899">
        <f t="shared" si="1"/>
        <v>0</v>
      </c>
      <c r="AE13" s="899">
        <f t="shared" si="1"/>
        <v>0</v>
      </c>
      <c r="AF13" s="899">
        <f t="shared" si="1"/>
        <v>6</v>
      </c>
      <c r="AG13" s="899">
        <f t="shared" si="1"/>
        <v>0</v>
      </c>
      <c r="AH13" s="899">
        <f t="shared" si="1"/>
        <v>114</v>
      </c>
      <c r="AI13" s="899">
        <f t="shared" si="1"/>
        <v>0</v>
      </c>
      <c r="AJ13" s="899">
        <f t="shared" si="1"/>
        <v>0</v>
      </c>
      <c r="AK13" s="899">
        <f t="shared" si="1"/>
        <v>0</v>
      </c>
      <c r="AL13" s="899">
        <f t="shared" si="1"/>
        <v>0</v>
      </c>
      <c r="AM13" s="899">
        <f t="shared" si="1"/>
        <v>4099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743</v>
      </c>
      <c r="BD13" s="899">
        <f t="shared" si="1"/>
        <v>540</v>
      </c>
      <c r="BE13" s="899">
        <f t="shared" si="1"/>
        <v>0</v>
      </c>
      <c r="BF13" s="899">
        <f t="shared" si="1"/>
        <v>0</v>
      </c>
      <c r="BG13" s="899">
        <f>IF(ISNUMBER(Datos!K13/Datos!J13),Datos!K13/Datos!J13," - ")</f>
        <v>1.227436823104693</v>
      </c>
      <c r="BH13" s="903">
        <f>IF(ISNUMBER(((Datos!L13/Datos!K13)*11)/factor_trimestre),((Datos!L13/Datos!K13)*11)/factor_trimestre," - ")</f>
        <v>5.3276470588235298</v>
      </c>
      <c r="BI13" s="899">
        <f>IF(ISNUMBER('Resol  Asuntos'!D13/NºAsuntos!G13),'Resol  Asuntos'!D13/NºAsuntos!G13," - ")</f>
        <v>0.41438929168990518</v>
      </c>
      <c r="BJ13" s="899" t="str">
        <f>IF(ISNUMBER(Datos!CI13/Datos!CJ13),Datos!CI13/Datos!CJ13," - ")</f>
        <v xml:space="preserve"> - </v>
      </c>
      <c r="BK13" s="899">
        <f>SUBTOTAL(9,BK8:BK12)</f>
        <v>0</v>
      </c>
      <c r="BL13" s="899">
        <f>IF(ISNUMBER((I13-AB13+L13)/(F13)),(I13-AB13+L13)/(F13)," - ")</f>
        <v>0</v>
      </c>
      <c r="BM13" s="904">
        <f>SUBTOTAL(9,BM9:BM12)</f>
        <v>-1.0617990386816205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1371</v>
      </c>
      <c r="G16" s="598">
        <f>IF(ISNUMBER(IF(D_I="SI",Datos!I16,Datos!I16+Datos!AC16)),IF(D_I="SI",Datos!I16,Datos!I16+Datos!AC16)," - ")</f>
        <v>1348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1295</v>
      </c>
      <c r="AC16" s="226">
        <f>IF(ISNUMBER(Datos!Q16),Datos!Q16," - ")</f>
        <v>49</v>
      </c>
      <c r="AD16" s="334"/>
      <c r="AE16" s="484"/>
      <c r="AF16" s="596">
        <f>IF(ISNUMBER(IF(D_I="SI",Datos!L16,Datos!L16+Datos!AF16)),IF(D_I="SI",Datos!L16,Datos!L16+Datos!AF16)," - ")</f>
        <v>1297</v>
      </c>
      <c r="AG16" s="334"/>
      <c r="AH16" s="334"/>
      <c r="AI16" s="334"/>
      <c r="AJ16" s="334"/>
      <c r="AK16" s="334"/>
      <c r="AL16" s="479"/>
      <c r="AM16" s="335">
        <f>IF(ISNUMBER(Datos!R16),Datos!R16," - ")</f>
        <v>189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175</v>
      </c>
      <c r="BD16" s="229">
        <f>IF(ISNUMBER(Datos!N16),Datos!N16," - ")</f>
        <v>703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1.0606060606060606</v>
      </c>
      <c r="BH16" s="260">
        <f>IF(ISNUMBER(((IF(D_I="SI",Datos!L16/Datos!K16,(Datos!L16+Datos!AF16)/(Datos!K16+Datos!AE16)))*11)/factor_trimestre),((IF(D_I="SI",Datos!L16/Datos!K16,(Datos!L16+Datos!AF16)/(Datos!K16+Datos!AE16)))*11)/factor_trimestre," - ")</f>
        <v>3.0046332046332047</v>
      </c>
      <c r="BI16" s="243">
        <f>IF(ISNUMBER('Resol  Asuntos'!D16/NºAsuntos!G16),'Resol  Asuntos'!D16/NºAsuntos!G16," - ")</f>
        <v>0.13513513513513514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181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8.2272727272727266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1371</v>
      </c>
      <c r="G18" s="898">
        <f>SUBTOTAL(9,G15:G17)</f>
        <v>1517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1361</v>
      </c>
      <c r="AC18" s="899">
        <f t="shared" si="4"/>
        <v>49</v>
      </c>
      <c r="AD18" s="899">
        <f t="shared" si="4"/>
        <v>0</v>
      </c>
      <c r="AE18" s="899">
        <f t="shared" si="4"/>
        <v>0</v>
      </c>
      <c r="AF18" s="899">
        <f t="shared" si="4"/>
        <v>1478</v>
      </c>
      <c r="AG18" s="899">
        <f t="shared" si="4"/>
        <v>0</v>
      </c>
      <c r="AH18" s="899">
        <f t="shared" si="4"/>
        <v>0</v>
      </c>
      <c r="AI18" s="899">
        <f t="shared" si="4"/>
        <v>0</v>
      </c>
      <c r="AJ18" s="899">
        <f t="shared" si="4"/>
        <v>0</v>
      </c>
      <c r="AK18" s="899">
        <f t="shared" si="4"/>
        <v>0</v>
      </c>
      <c r="AL18" s="899">
        <f t="shared" si="4"/>
        <v>0</v>
      </c>
      <c r="AM18" s="899">
        <f t="shared" si="4"/>
        <v>192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175</v>
      </c>
      <c r="BD18" s="899">
        <f t="shared" si="4"/>
        <v>744</v>
      </c>
      <c r="BE18" s="899">
        <f t="shared" si="4"/>
        <v>0</v>
      </c>
      <c r="BF18" s="899">
        <f t="shared" si="4"/>
        <v>0</v>
      </c>
      <c r="BG18" s="899">
        <f>IF(ISNUMBER(Datos!K18/Datos!J18),Datos!K18/Datos!J18," - ")</f>
        <v>1.0485362095531587</v>
      </c>
      <c r="BH18" s="903">
        <f>IF(ISNUMBER(((Datos!L18/Datos!K18)*11)/factor_trimestre),((Datos!L18/Datos!K18)*11)/factor_trimestre," - ")</f>
        <v>3.2578986039676709</v>
      </c>
      <c r="BI18" s="899">
        <f>SUBTOTAL(9,BI15:BI17)</f>
        <v>0.13513513513513514</v>
      </c>
      <c r="BJ18" s="899">
        <f>SUBTOTAL(9,BJ15:BJ17)</f>
        <v>0</v>
      </c>
      <c r="BK18" s="899">
        <f>SUBTOTAL(9,BK15:BK17)</f>
        <v>0</v>
      </c>
      <c r="BL18" s="899">
        <f>IF(ISNUMBER((I18-AB18+L18)/(F18)),(I18-AB18+L18)/(F18)," - ")</f>
        <v>-0.99270605397520062</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1376</v>
      </c>
      <c r="G19" s="820">
        <f t="shared" si="6"/>
        <v>1522</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443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1361</v>
      </c>
      <c r="AC19" s="821">
        <f t="shared" si="7"/>
        <v>698</v>
      </c>
      <c r="AD19" s="821">
        <f t="shared" si="7"/>
        <v>0</v>
      </c>
      <c r="AE19" s="821">
        <f t="shared" si="7"/>
        <v>0</v>
      </c>
      <c r="AF19" s="828">
        <f t="shared" si="7"/>
        <v>1484</v>
      </c>
      <c r="AG19" s="828">
        <f t="shared" si="7"/>
        <v>0</v>
      </c>
      <c r="AH19" s="828">
        <f t="shared" si="7"/>
        <v>114</v>
      </c>
      <c r="AI19" s="828">
        <f t="shared" si="7"/>
        <v>0</v>
      </c>
      <c r="AJ19" s="821">
        <f t="shared" si="7"/>
        <v>0</v>
      </c>
      <c r="AK19" s="828">
        <f t="shared" si="7"/>
        <v>0</v>
      </c>
      <c r="AL19" s="828">
        <f t="shared" si="7"/>
        <v>0</v>
      </c>
      <c r="AM19" s="828">
        <f t="shared" si="7"/>
        <v>4291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918</v>
      </c>
      <c r="BD19" s="820">
        <f t="shared" si="7"/>
        <v>1284</v>
      </c>
      <c r="BE19" s="820">
        <f t="shared" si="7"/>
        <v>0</v>
      </c>
      <c r="BF19" s="830">
        <f t="shared" si="7"/>
        <v>0</v>
      </c>
      <c r="BG19" s="915">
        <f>IF(ISNUMBER(Datos!K19/Datos!J19),Datos!K19/Datos!J19," - ")</f>
        <v>1.1408870667163622</v>
      </c>
      <c r="BH19" s="915">
        <f>IF(ISNUMBER(((Datos!L19/Datos!K19)*11)/factor_trimestre),((Datos!L19/Datos!K19)*11)/factor_trimestre," - ")</f>
        <v>4.4073832081019271</v>
      </c>
      <c r="BI19" s="813">
        <f>IF(ISNUMBER(Datos!J19/Datos!I19),Datos!J19/Datos!I19," - ")</f>
        <v>0.55308183879612449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-0.98909883720930236</v>
      </c>
      <c r="BM19" s="889">
        <f>IF(ISNUMBER((Datos!P19-Datos!Q19+R19)/(Datos!R19-Datos!P19+Datos!Q19-R19)),(Datos!P19-Datos!Q19+R19)/(Datos!R19-Datos!P19+Datos!Q19-R19)," - ")</f>
        <v>-5.6093268807743069E-2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608.79999999999995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788.66046771302877</v>
      </c>
      <c r="G21" s="552">
        <f>IF(ISNUMBER(STDEV(G8:G18)),STDEV(G8:G18),"-")</f>
        <v>757.26758810872127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716.21316659218155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347.42826597730931</v>
      </c>
      <c r="BD21" s="551"/>
      <c r="BE21" s="551">
        <f>IF(ISNUMBER(STDEV(BE8:BE18)),STDEV(BE8:BE18),"-")</f>
        <v>0</v>
      </c>
      <c r="BF21" s="556">
        <f>IF(ISNUMBER(STDEV(BF8:BF18)),STDEV(BF8:BF18),"-")</f>
        <v>0</v>
      </c>
      <c r="BG21" s="775">
        <f>IF(ISNUMBER(STDEV(BG8:BG18)),STDEV(BG8:BG18),"-")</f>
        <v>0.46009613615189465</v>
      </c>
      <c r="BH21" s="776">
        <f>IF(ISNUMBER(STDEV(BH8:BH18)),STDEV(BH8:BH18),"-")</f>
        <v>2.0971640748646889</v>
      </c>
      <c r="BI21" s="249">
        <f>IF(ISNUMBER(STDEV(BI8:BI18)),STDEV(BI8:BI18),"-")</f>
        <v>0.1742142508688358</v>
      </c>
      <c r="BJ21" s="230" t="str">
        <f>IF(ISNUMBER(BL21/BM21),BL21/BM21," - ")</f>
        <v xml:space="preserve"> - </v>
      </c>
      <c r="BK21" s="575"/>
      <c r="BL21" s="559">
        <f>IF(ISNUMBER(STDEV(BL8:BL18)),STDEV(BL8:BL18),"-")</f>
        <v>0.70194918249080318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dDOMGSyIXYzFf4xGHyWS/rT4FY+aArSpJ/cAfFqGzetdzbkGUGaGhnoag44OhgRSGqyy8fEjujtS+hJir4xQQ==" saltValue="ur+/lNj/+rO1hfWwp8y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ZAMORA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648</v>
      </c>
      <c r="AA12" s="332" t="str">
        <f>IF(ISNUMBER(IF(J_V="SI",Datos!L12,Datos!L12+Datos!AB12)-IF(Monitorios="SI",Datos!CD12,0)),
                          IF(J_V="SI",Datos!L12,Datos!L12+Datos!AB12)-IF(Monitorios="SI",Datos!CD12,0),
                          " - ")</f>
        <v xml:space="preserve"> - </v>
      </c>
      <c r="AB12" s="334"/>
      <c r="AC12" s="334"/>
      <c r="AD12" s="484"/>
      <c r="AE12" s="484">
        <f>IF(ISNUMBER(Datos!R12),Datos!R12," - ")</f>
        <v>4099</v>
      </c>
      <c r="AF12" s="229" t="str">
        <f>IF(ISNUMBER(Datos!BV12),Datos!BV12," - ")</f>
        <v xml:space="preserve"> - </v>
      </c>
      <c r="AG12" s="225" t="str">
        <f>IF(ISNUMBER(Datos!DV12),Datos!DV12," - ")</f>
        <v xml:space="preserve"> - </v>
      </c>
      <c r="AH12" s="298"/>
      <c r="AI12" s="227"/>
      <c r="AJ12" s="225">
        <f>IF(ISNUMBER(Datos!M12),Datos!M12," - ")</f>
        <v>743</v>
      </c>
      <c r="AK12" s="229">
        <f>IF(ISNUMBER(Datos!N12),Datos!N12," - ")</f>
        <v>540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5.232013385387619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-6.1799038681620511E-2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649</v>
      </c>
      <c r="AA13" s="900">
        <f t="shared" si="2"/>
        <v>6</v>
      </c>
      <c r="AB13" s="900">
        <f t="shared" si="2"/>
        <v>0</v>
      </c>
      <c r="AC13" s="900">
        <f t="shared" si="2"/>
        <v>0</v>
      </c>
      <c r="AD13" s="900">
        <f t="shared" si="2"/>
        <v>0</v>
      </c>
      <c r="AE13" s="900">
        <f t="shared" si="2"/>
        <v>4099</v>
      </c>
      <c r="AF13" s="908">
        <f t="shared" si="2"/>
        <v>0</v>
      </c>
      <c r="AG13" s="908">
        <f t="shared" si="2"/>
        <v>0</v>
      </c>
      <c r="AH13" s="908">
        <f t="shared" si="2"/>
        <v>0</v>
      </c>
      <c r="AI13" s="908">
        <f t="shared" si="2"/>
        <v>0</v>
      </c>
      <c r="AJ13" s="908">
        <f t="shared" si="2"/>
        <v>743</v>
      </c>
      <c r="AK13" s="908">
        <f t="shared" si="2"/>
        <v>540</v>
      </c>
      <c r="AL13" s="908">
        <f t="shared" si="2"/>
        <v>0</v>
      </c>
      <c r="AM13" s="908">
        <f t="shared" si="2"/>
        <v>0</v>
      </c>
      <c r="AN13" s="908">
        <f t="shared" si="2"/>
        <v>0</v>
      </c>
      <c r="AO13" s="904">
        <f>IF(ISNUMBER(((NºAsuntos!I13/NºAsuntos!G13)*11)/factor_trimestre),((NºAsuntos!I13/NºAsuntos!G13)*11)/factor_trimestre," - ")</f>
        <v>5.2420524261015062</v>
      </c>
      <c r="AP13" s="910" t="str">
        <f>IF(ISNUMBER(Datos!CI13/Datos!CJ13),Datos!CI13/Datos!CJ13," - ")</f>
        <v xml:space="preserve"> - </v>
      </c>
      <c r="AQ13" s="928">
        <f t="shared" ref="AQ13:AV13" si="3">SUBTOTAL(9,AQ9:AQ12)</f>
        <v>0</v>
      </c>
      <c r="AR13" s="928">
        <f t="shared" si="3"/>
        <v>-1.0617990386816205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1371</v>
      </c>
      <c r="G16" s="225">
        <f>IF(ISNUMBER(IF(D_I="SI",Datos!I16,Datos!I16+Datos!AC16)),IF(D_I="SI",Datos!I16,Datos!I16+Datos!AC16)," - ")</f>
        <v>1348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1295</v>
      </c>
      <c r="Z16" s="619">
        <f>IF(ISNUMBER(Datos!Q16),Datos!Q16," - ")</f>
        <v>49</v>
      </c>
      <c r="AA16" s="332">
        <f>IF(ISNUMBER(IF(D_I="SI",Datos!L16,Datos!L16+Datos!AF16)),IF(D_I="SI",Datos!L16,Datos!L16+Datos!AF16)," - ")</f>
        <v>1297</v>
      </c>
      <c r="AB16" s="334"/>
      <c r="AC16" s="334"/>
      <c r="AD16" s="484"/>
      <c r="AE16" s="484">
        <f>IF(ISNUMBER(Datos!R16),Datos!R16," - ")</f>
        <v>189</v>
      </c>
      <c r="AF16" s="229" t="str">
        <f>IF(ISNUMBER(Datos!BV16),Datos!BV16," - ")</f>
        <v xml:space="preserve"> - </v>
      </c>
      <c r="AG16" s="225"/>
      <c r="AH16" s="298"/>
      <c r="AI16" s="227"/>
      <c r="AJ16" s="225">
        <f>IF(ISNUMBER(Datos!M16),Datos!M16," - ")</f>
        <v>175</v>
      </c>
      <c r="AK16" s="229">
        <f>IF(ISNUMBER(Datos!N16),Datos!N16," - ")</f>
        <v>703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3.0046332046332047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181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0</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8.2272727272727266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1371</v>
      </c>
      <c r="G18" s="898">
        <f>SUBTOTAL(9,G15:G17)</f>
        <v>1517</v>
      </c>
      <c r="H18" s="932">
        <f>SUBTOTAL(9,H15:H17)</f>
        <v>0</v>
      </c>
      <c r="I18" s="911">
        <f>SUBTOTAL(9,I15:I17)</f>
        <v>0</v>
      </c>
      <c r="J18" s="867">
        <f>SUBTOTAL(9,J14:J17)</f>
        <v>0</v>
      </c>
      <c r="K18" s="932">
        <f t="shared" ref="K18:S18" si="4">SUBTOTAL(9,K15:K17)</f>
        <v>0</v>
      </c>
      <c r="L18" s="932">
        <f t="shared" si="4"/>
        <v>0</v>
      </c>
      <c r="M18" s="932">
        <f t="shared" si="4"/>
        <v>0</v>
      </c>
      <c r="N18" s="932">
        <f t="shared" si="4"/>
        <v>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1361</v>
      </c>
      <c r="Z18" s="932">
        <f t="shared" si="5"/>
        <v>49</v>
      </c>
      <c r="AA18" s="932">
        <f t="shared" si="5"/>
        <v>1478</v>
      </c>
      <c r="AB18" s="932">
        <f t="shared" si="5"/>
        <v>0</v>
      </c>
      <c r="AC18" s="932">
        <f t="shared" si="5"/>
        <v>0</v>
      </c>
      <c r="AD18" s="932">
        <f t="shared" si="5"/>
        <v>0</v>
      </c>
      <c r="AE18" s="932">
        <f t="shared" si="5"/>
        <v>192</v>
      </c>
      <c r="AF18" s="932">
        <f t="shared" si="5"/>
        <v>0</v>
      </c>
      <c r="AG18" s="932">
        <f t="shared" si="5"/>
        <v>0</v>
      </c>
      <c r="AH18" s="932">
        <f t="shared" si="5"/>
        <v>0</v>
      </c>
      <c r="AI18" s="932">
        <f t="shared" si="5"/>
        <v>0</v>
      </c>
      <c r="AJ18" s="932">
        <f t="shared" si="5"/>
        <v>175</v>
      </c>
      <c r="AK18" s="932">
        <f t="shared" si="5"/>
        <v>744</v>
      </c>
      <c r="AL18" s="932">
        <f t="shared" si="5"/>
        <v>0</v>
      </c>
      <c r="AM18" s="932">
        <f t="shared" si="5"/>
        <v>0</v>
      </c>
      <c r="AN18" s="932">
        <f t="shared" si="5"/>
        <v>0</v>
      </c>
      <c r="AO18" s="934">
        <f>IF(ISNUMBER(((NºAsuntos!I18/NºAsuntos!G18)*11)/factor_trimestre),((NºAsuntos!I18/NºAsuntos!G18)*11)/factor_trimestre," - ")</f>
        <v>3.2578986039676709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1376</v>
      </c>
      <c r="G19" s="820">
        <f t="shared" si="7"/>
        <v>1522</v>
      </c>
      <c r="H19" s="821">
        <f t="shared" si="7"/>
        <v>0</v>
      </c>
      <c r="I19" s="820">
        <f t="shared" si="7"/>
        <v>0</v>
      </c>
      <c r="J19" s="822">
        <f t="shared" si="7"/>
        <v>0</v>
      </c>
      <c r="K19" s="820">
        <f t="shared" si="7"/>
        <v>0</v>
      </c>
      <c r="L19" s="823">
        <f t="shared" si="7"/>
        <v>0</v>
      </c>
      <c r="M19" s="820">
        <f t="shared" si="7"/>
        <v>0</v>
      </c>
      <c r="N19" s="821">
        <f t="shared" si="7"/>
        <v>443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1361</v>
      </c>
      <c r="Z19" s="827">
        <f t="shared" si="8"/>
        <v>698</v>
      </c>
      <c r="AA19" s="828">
        <f t="shared" si="8"/>
        <v>1484</v>
      </c>
      <c r="AB19" s="828">
        <f t="shared" si="8"/>
        <v>0</v>
      </c>
      <c r="AC19" s="828">
        <f t="shared" si="8"/>
        <v>0</v>
      </c>
      <c r="AD19" s="829">
        <f t="shared" si="8"/>
        <v>0</v>
      </c>
      <c r="AE19" s="829">
        <f t="shared" si="8"/>
        <v>4291</v>
      </c>
      <c r="AF19" s="830">
        <f t="shared" si="8"/>
        <v>0</v>
      </c>
      <c r="AG19" s="831">
        <f t="shared" si="8"/>
        <v>0</v>
      </c>
      <c r="AH19" s="832">
        <f t="shared" si="8"/>
        <v>0</v>
      </c>
      <c r="AI19" s="830">
        <f t="shared" si="8"/>
        <v>0</v>
      </c>
      <c r="AJ19" s="820">
        <f t="shared" si="8"/>
        <v>918</v>
      </c>
      <c r="AK19" s="820">
        <f t="shared" si="8"/>
        <v>1284</v>
      </c>
      <c r="AL19" s="820">
        <f t="shared" si="8"/>
        <v>0</v>
      </c>
      <c r="AM19" s="833">
        <f t="shared" si="8"/>
        <v>0</v>
      </c>
      <c r="AN19" s="823">
        <f>IF(ISNUMBER(Datos!K19/Datos!J19),Datos!K19/Datos!J19," - ")</f>
        <v>1.1408870667163622</v>
      </c>
      <c r="AO19" s="823">
        <f>IF(ISNUMBER(FIND("06",Criterios!A8,1)),(IF(ISNUMBER(((Datos!R19/Datos!Q19)*11)/factor_trimestre),((Datos!R19/Datos!Q19)*11)/factor_trimestre," - ")),(IF(ISNUMBER(((Datos!L19/Datos!K19)*11)/factor_trimestre),((Datos!L19/Datos!K19)*11)/factor_trimestre," - ")))</f>
        <v>4.4073832081019271</v>
      </c>
      <c r="AP19" s="834" t="str">
        <f>IF(ISNUMBER(Datos!CI19/Datos!CJ19),Datos!CI19/Datos!CJ19," - ")</f>
        <v xml:space="preserve"> - </v>
      </c>
      <c r="AQ19" s="834">
        <f>IF(OR(ISNUMBER(FIND("01",Criterios!A8,1)),ISNUMBER(FIND("02",Criterios!A8,1)),ISNUMBER(FIND("03",Criterios!A8,1)),ISNUMBER(FIND("04",Criterios!A8,1))),(J19-Y19+K19)/(F19-K19),(I19-Y19+K19)/(F19-K19))</f>
        <v>-0.98909883720930236</v>
      </c>
      <c r="AR19" s="834">
        <f>IF(ISNUMBER((Datos!P19-Datos!Q19+O19)/(Datos!R19-Datos!P19+Datos!Q19-O19)),(Datos!P19-Datos!Q19+O19)/(Datos!R19-Datos!P19+Datos!Q19-O19)," - ")</f>
        <v>-5.6093268807743069E-2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608.79999999999995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788.66046771302877</v>
      </c>
      <c r="G21" s="552">
        <f>IF(ISNUMBER(STDEV(G8:G18)),STDEV(G8:G18),"-")</f>
        <v>757.26758810872127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347.42826597730931</v>
      </c>
      <c r="AK21" s="252"/>
      <c r="AL21" s="252">
        <f>IF(ISNUMBER(STDEV(AL8:AL18)),STDEV(AL8:AL18),"-")</f>
        <v>0</v>
      </c>
      <c r="AM21" s="254">
        <f>IF(ISNUMBER(STDEV(AM8:AM18)),STDEV(AM8:AM18),"-")</f>
        <v>0</v>
      </c>
      <c r="AN21" s="539">
        <f>IF(ISNUMBER(STDEV(AN8:AN18)),STDEV(AN8:AN18),"-")</f>
        <v>0</v>
      </c>
      <c r="AO21" s="540">
        <f>IF(ISNUMBER(STDEV(AO8:AO18)),STDEV(AO8:AO18),"-")</f>
        <v>2.0942691861320744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T4K/M2AHvrdL+a+udkBDf962asVMFl4GWdH4AMeaMxFebp+N79MwDITyLLAuPlU/FCl5o88UOV3qQSJ+jUPwg==" saltValue="2sDidyRIgI7fvkwmf5uj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6+D16TKylwvvepJCXbKajVmRSm8nc3gA1VgnOchlW9kt5dYKGhwyFkm2ADZ+puYa6+e970fpRcUH45cVIlPmw==" saltValue="pPmG7txzUYLQK4mDwHzk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v1AtptQjmBUGfu0rNpxlFiiIri/jPBQxVeFkZnCGHK5XP+SgjaD7itnLuPvn6OeKFmJDRL9uuR3FhnFanChRQ==" saltValue="1rxVALrA4zFWCJ/e12/J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ZAMORA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0.41438929168990518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0.29301747820502222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gMCTVwkXYZeLaeOYqp4vC2s+Fj1DJ7tnFqcaHmVXCSslnptxes5i/RwWoODfvfYbgQ9gEsyUJRxsc6U3iHRKA==" saltValue="G/gsOsIpnrPY/IEuY1Ly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t1O3xKXb/A7242honVn5iVFlwbBWj2J5VKHjSBbgJgsL1eeObSrd2huOPcl4b+w2hPjpyhx9OuP/08SO4hzfg==" saltValue="QQs9yCR4Ixv6O2Fheb3a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ZAMORA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0</v>
      </c>
      <c r="H10" s="404">
        <f>IF(ISNUMBER(G10/B10),G10/B10," - ")</f>
        <v>0</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3429</v>
      </c>
      <c r="D12" s="404">
        <f>IF(ISNUMBER(C12/Datos!BH12),C12/Datos!BH12," - ")</f>
        <v>571.5</v>
      </c>
      <c r="E12" s="403">
        <f>IF(ISNUMBER(IF(J_V="SI",Datos!J12,Datos!J12+Datos!Z12)),IF(J_V="SI",Datos!J12,Datos!J12+Datos!Z12)," - ")</f>
        <v>1491</v>
      </c>
      <c r="F12" s="404">
        <f>IF(ISNUMBER(E12/B12),E12/B12," - ")</f>
        <v>248.5</v>
      </c>
      <c r="G12" s="403">
        <f>IF(ISNUMBER(IF(J_V="SI",Datos!K12,Datos!K12+Datos!AA12)),IF(J_V="SI",Datos!K12,Datos!K12+Datos!AA12)," - ")</f>
        <v>1793</v>
      </c>
      <c r="H12" s="404">
        <f>IF(ISNUMBER(G12/B12),G12/B12," - ")</f>
        <v>298.83333333333331</v>
      </c>
      <c r="I12" s="403">
        <f>IF(ISNUMBER(IF(J_V="SI",Datos!L12,Datos!L12+Datos!AB12)),IF(J_V="SI",Datos!L12,Datos!L12+Datos!AB12)," - ")</f>
        <v>3127</v>
      </c>
      <c r="J12" s="404">
        <f>IF(ISNUMBER(I12/B12),I12/B12," - ")</f>
        <v>521.16666666666663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3434</v>
      </c>
      <c r="D13" s="850" t="str">
        <f>IF(ISNUMBER(C13/Datos!BI13),C13/Datos!BI13," - ")</f>
        <v xml:space="preserve"> - </v>
      </c>
      <c r="E13" s="849">
        <f>SUBTOTAL(9,E8:E12)</f>
        <v>1492</v>
      </c>
      <c r="F13" s="850">
        <f>IF(ISNUMBER(E13/B13),E13/B13," - ")</f>
        <v>248.66666666666666</v>
      </c>
      <c r="G13" s="849">
        <f>SUBTOTAL(9,G8:G12)</f>
        <v>1793</v>
      </c>
      <c r="H13" s="850">
        <f>IF(ISNUMBER(G13/B13),G13/B13," - ")</f>
        <v>298.83333333333331</v>
      </c>
      <c r="I13" s="849">
        <f>SUBTOTAL(9,I8:I12)</f>
        <v>3133</v>
      </c>
      <c r="J13" s="850">
        <f>IF(ISNUMBER(I13/B13),I13/B13," - ")</f>
        <v>522.16666666666663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1348</v>
      </c>
      <c r="D16" s="404">
        <f>IF(ISNUMBER(C16/Datos!BH16),C16/Datos!BH16," - ")</f>
        <v>224.66666666666666</v>
      </c>
      <c r="E16" s="403">
        <f>IF(ISNUMBER(IF(D_I="SI",Datos!J16,Datos!J16+Datos!AD16)),IF(D_I="SI",Datos!J16,Datos!J16+Datos!AD16)," - ")</f>
        <v>1221</v>
      </c>
      <c r="F16" s="404">
        <f>IF(ISNUMBER(E16/B16),E16/B16," - ")</f>
        <v>203.5</v>
      </c>
      <c r="G16" s="403">
        <f>IF(ISNUMBER(IF(D_I="SI",Datos!K16,Datos!K16+Datos!AE16)),IF(D_I="SI",Datos!K16,Datos!K16+Datos!AE16)," - ")</f>
        <v>1295</v>
      </c>
      <c r="H16" s="404">
        <f>IF(ISNUMBER(G16/B16),G16/B16," - ")</f>
        <v>215.83333333333334</v>
      </c>
      <c r="I16" s="403">
        <f>IF(ISNUMBER(IF(D_I="SI",Datos!L16,Datos!L16+Datos!AF16)),IF(D_I="SI",Datos!L16,Datos!L16+Datos!AF16)," - ")</f>
        <v>1297</v>
      </c>
      <c r="J16" s="404">
        <f>IF(ISNUMBER(I16/B16),I16/B16," - ")</f>
        <v>216.16666666666666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169</v>
      </c>
      <c r="D17" s="404">
        <f>IF(ISNUMBER(C17/Datos!BH17),C17/Datos!BH17," - ")</f>
        <v>169</v>
      </c>
      <c r="E17" s="403">
        <f>IF(ISNUMBER(IF(D_I="SI",Datos!J17,Datos!J17+Datos!AD17)),IF(D_I="SI",Datos!J17,Datos!J17+Datos!AD17)," - ")</f>
        <v>77</v>
      </c>
      <c r="F17" s="404">
        <f>IF(ISNUMBER(E17/B17),E17/B17," - ")</f>
        <v>77</v>
      </c>
      <c r="G17" s="403">
        <f>IF(ISNUMBER(IF(D_I="SI",Datos!K17,Datos!K17+Datos!AE17)),IF(D_I="SI",Datos!K17,Datos!K17+Datos!AE17)," - ")</f>
        <v>66</v>
      </c>
      <c r="H17" s="404">
        <f>IF(ISNUMBER(G17/B17),G17/B17," - ")</f>
        <v>66</v>
      </c>
      <c r="I17" s="403">
        <f>IF(ISNUMBER(IF(D_I="SI",Datos!L17,Datos!L17+Datos!AF17)),IF(D_I="SI",Datos!L17,Datos!L17+Datos!AF17)," - ")</f>
        <v>181</v>
      </c>
      <c r="J17" s="404">
        <f>IF(ISNUMBER(I17/B17),I17/B17," - ")</f>
        <v>181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1517</v>
      </c>
      <c r="D18" s="850" t="str">
        <f>IF(ISNUMBER(C18/Datos!BI18),C18/Datos!BI18," - ")</f>
        <v xml:space="preserve"> - </v>
      </c>
      <c r="E18" s="849">
        <f>SUBTOTAL(9,E14:E17)</f>
        <v>1298</v>
      </c>
      <c r="F18" s="850">
        <f>IF(ISNUMBER(E18/B18),E18/B18," - ")</f>
        <v>216.33333333333334</v>
      </c>
      <c r="G18" s="849">
        <f>SUBTOTAL(9,G14:G17)</f>
        <v>1361</v>
      </c>
      <c r="H18" s="850">
        <f>IF(ISNUMBER(G18/B18),G18/B18," - ")</f>
        <v>226.83333333333334</v>
      </c>
      <c r="I18" s="849">
        <f>SUBTOTAL(9,I14:I17)</f>
        <v>1478</v>
      </c>
      <c r="J18" s="850">
        <f>IF(ISNUMBER(I18/B18),I18/B18," - ")</f>
        <v>246.33333333333334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4951</v>
      </c>
      <c r="D19" s="795" t="str">
        <f>IF(ISNUMBER(C19/Datos!BI19),C19/Datos!BI19," - ")</f>
        <v xml:space="preserve"> - </v>
      </c>
      <c r="E19" s="794">
        <f>SUBTOTAL(9,E9:E18)</f>
        <v>2790</v>
      </c>
      <c r="F19" s="795">
        <f>IF(ISNUMBER(E19/B19),E19/B19," - ")</f>
        <v>465</v>
      </c>
      <c r="G19" s="794">
        <f>SUBTOTAL(9,G9:G18)</f>
        <v>3154</v>
      </c>
      <c r="H19" s="795">
        <f>IF(ISNUMBER(G19/B19),G19/B19," - ")</f>
        <v>525.66666666666663</v>
      </c>
      <c r="I19" s="794">
        <f>SUBTOTAL(9,I9:I18)</f>
        <v>4611</v>
      </c>
      <c r="J19" s="795">
        <f>IF(ISNUMBER(I19/B19),I19/B19," - ")</f>
        <v>768.5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MMnBvjcHiY3P/Kyc6CbBZR06jM+0UfoXIyfz55Q8x+WRIGOVmPdRC0JYau9nZtl3q21+2JP3Hmv584AsaBoQ==" saltValue="eKEGZxAqCH9SZ99Dw/Jj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ZAMORA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743</v>
      </c>
      <c r="AM12" s="690">
        <f>IF(ISNUMBER(Datos!N12+DatosP!N16),Datos!N12+DatosP!N16," - ")</f>
        <v>540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5.232013385387619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-6.1799038681620511E-2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648</v>
      </c>
      <c r="AE13" s="939">
        <f t="shared" si="1"/>
        <v>0</v>
      </c>
      <c r="AF13" s="939">
        <f t="shared" si="1"/>
        <v>6</v>
      </c>
      <c r="AG13" s="939">
        <f t="shared" si="1"/>
        <v>0</v>
      </c>
      <c r="AH13" s="939">
        <f t="shared" si="1"/>
        <v>4099</v>
      </c>
      <c r="AI13" s="939">
        <f t="shared" si="1"/>
        <v>0</v>
      </c>
      <c r="AJ13" s="939">
        <f t="shared" si="1"/>
        <v>0</v>
      </c>
      <c r="AK13" s="939">
        <f t="shared" si="1"/>
        <v>0</v>
      </c>
      <c r="AL13" s="939">
        <f t="shared" si="1"/>
        <v>743</v>
      </c>
      <c r="AM13" s="939">
        <f t="shared" si="1"/>
        <v>540</v>
      </c>
      <c r="AN13" s="939">
        <f t="shared" si="1"/>
        <v>0</v>
      </c>
      <c r="AO13" s="939">
        <f t="shared" si="1"/>
        <v>0</v>
      </c>
      <c r="AP13" s="944">
        <f>IF(ISNUMBER(((Datos!L13/Datos!K13)*11)/factor_trimestre),((Datos!L13/Datos!K13)*11)/factor_trimestre," - ")</f>
        <v>5.3276470588235298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-6.1799038681620511E-2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3.2578986039676709</v>
      </c>
      <c r="AQ18" s="944">
        <f>IF(ISNUMBER(((Datos!M18/Datos!L18)*11)/factor_trimestre),((Datos!M18/Datos!L18)*11)/factor_trimestre," - ")</f>
        <v>0.3552097428958052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-6.9892473118279563E-2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648</v>
      </c>
      <c r="AE19" s="957">
        <f t="shared" si="5"/>
        <v>0</v>
      </c>
      <c r="AF19" s="958">
        <f t="shared" si="5"/>
        <v>6</v>
      </c>
      <c r="AG19" s="958">
        <f t="shared" si="5"/>
        <v>0</v>
      </c>
      <c r="AH19" s="958">
        <f t="shared" si="5"/>
        <v>4099</v>
      </c>
      <c r="AI19" s="958">
        <f t="shared" si="5"/>
        <v>0</v>
      </c>
      <c r="AJ19" s="959">
        <f t="shared" si="5"/>
        <v>0</v>
      </c>
      <c r="AK19" s="959">
        <f t="shared" si="5"/>
        <v>0</v>
      </c>
      <c r="AL19" s="951">
        <f t="shared" si="5"/>
        <v>743</v>
      </c>
      <c r="AM19" s="951">
        <f t="shared" si="5"/>
        <v>540</v>
      </c>
      <c r="AN19" s="951">
        <f t="shared" si="5"/>
        <v>0</v>
      </c>
      <c r="AO19" s="951">
        <f t="shared" si="5"/>
        <v>0</v>
      </c>
      <c r="AP19" s="951">
        <f>IF(ISNUMBER(((Datos!L19/Datos!K19)*11)/factor_trimestre),((Datos!L19/Datos!K19)*11)/factor_trimestre," - ")</f>
        <v>4.4073832081019271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-5.6093268807743069E-2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428.97125000789197</v>
      </c>
      <c r="AM21" s="736"/>
      <c r="AN21" s="736">
        <f>IF(ISNUMBER(STDEV(AN8:AN18)),STDEV(AN8:AN18),"-")</f>
        <v>0</v>
      </c>
      <c r="AO21" s="742">
        <f>IF(ISNUMBER(STDEV(AO8:AO18)),STDEV(AO8:AO18),"-")</f>
        <v>0</v>
      </c>
      <c r="AP21" s="779">
        <f>IF(ISNUMBER(STDEV(AP8:AP18)),STDEV(AP8:AP18),"-")</f>
        <v>1.1683416763439964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bN+67tyHuz5/aIBV5Qylckv2Y7qTc/4oXDWaXfHbFp+ny3xcos06Y5o9Kgr+++KTfnCisaNHxCR+/ps3i6dFw==" saltValue="gllItYbOUIxf2khHySL5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ZAMORA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ZPxExtqaGM13x/cDMYx5UxrVFi5rxx+PWTScshPiIBgWTDyRRKOrq6E6Gxkdcu1Mnv8XIt3VFrbs5t/FKq5ow==" saltValue="pvDj/5GqkPYSdU45lP3S6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ZAMORA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743</v>
      </c>
      <c r="E12" s="404">
        <f t="shared" si="0"/>
        <v>123.83333333333333</v>
      </c>
      <c r="F12" s="403">
        <f>IF(ISNUMBER(Datos!N12),Datos!N12," - ")</f>
        <v>540</v>
      </c>
      <c r="G12" s="404">
        <f t="shared" si="1"/>
        <v>90</v>
      </c>
      <c r="H12" s="403">
        <f>IF(ISNUMBER(Datos!O12),Datos!O12," - ")</f>
        <v>656</v>
      </c>
      <c r="I12" s="404">
        <f t="shared" si="2"/>
        <v>109.33333333333333</v>
      </c>
      <c r="BZ12" s="1186">
        <f>Datos!EZ12</f>
        <v>0</v>
      </c>
    </row>
    <row r="13" spans="1:78" ht="14.25" thickTop="1" thickBot="1">
      <c r="A13" s="848" t="str">
        <f>Datos!A13</f>
        <v>TOTAL</v>
      </c>
      <c r="B13" s="849">
        <f>Datos!AP13</f>
        <v>6</v>
      </c>
      <c r="C13" s="851">
        <f>Datos!AR13</f>
        <v>6</v>
      </c>
      <c r="D13" s="849">
        <f>SUBTOTAL(9,D9:D12)</f>
        <v>743</v>
      </c>
      <c r="E13" s="850">
        <f t="shared" si="0"/>
        <v>123.83333333333333</v>
      </c>
      <c r="F13" s="849">
        <f>SUBTOTAL(9,F9:F12)</f>
        <v>540</v>
      </c>
      <c r="G13" s="850">
        <f t="shared" si="1"/>
        <v>90</v>
      </c>
      <c r="H13" s="849">
        <f>SUBTOTAL(9,H9:H12)</f>
        <v>656</v>
      </c>
      <c r="I13" s="850">
        <f>IF(ISNUMBER(H13/B13),H13/B13," - ")</f>
        <v>109.33333333333333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175</v>
      </c>
      <c r="E16" s="404">
        <f t="shared" si="3"/>
        <v>29.166666666666668</v>
      </c>
      <c r="F16" s="403">
        <f>IF(ISNUMBER(Datos!N16),Datos!N16," - ")</f>
        <v>703</v>
      </c>
      <c r="G16" s="404">
        <f t="shared" si="4"/>
        <v>117.16666666666667</v>
      </c>
      <c r="H16" s="403">
        <f>IF(ISNUMBER(Datos!O16),Datos!O16," - ")</f>
        <v>46</v>
      </c>
      <c r="I16" s="404">
        <f t="shared" si="5"/>
        <v>7.666666666666667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175</v>
      </c>
      <c r="E18" s="850">
        <f t="shared" si="3"/>
        <v>29.166666666666668</v>
      </c>
      <c r="F18" s="849">
        <f>SUBTOTAL(9,F15:F17)</f>
        <v>744</v>
      </c>
      <c r="G18" s="850">
        <f t="shared" si="4"/>
        <v>124</v>
      </c>
      <c r="H18" s="849">
        <f>SUBTOTAL(9,H15:H17)</f>
        <v>46</v>
      </c>
      <c r="I18" s="850">
        <f>IF(ISNUMBER(H18/B18),H18/B18," - ")</f>
        <v>7.666666666666667</v>
      </c>
      <c r="BZ18" s="1186"/>
    </row>
    <row r="19" spans="1:78" ht="14.25" thickTop="1" thickBot="1">
      <c r="A19" s="793" t="str">
        <f>Datos!A19</f>
        <v>TOTAL JURISDICCIONES</v>
      </c>
      <c r="B19" s="794">
        <f>Datos!AP19</f>
        <v>6</v>
      </c>
      <c r="C19" s="794">
        <f>Datos!AR19</f>
        <v>6</v>
      </c>
      <c r="D19" s="794">
        <f>SUBTOTAL(9,D8:D18)</f>
        <v>918</v>
      </c>
      <c r="E19" s="795">
        <f>IF(ISNUMBER(D19/B19),D19/B19," - ")</f>
        <v>153</v>
      </c>
      <c r="F19" s="794">
        <f>SUBTOTAL(9,F8:F18)</f>
        <v>1284</v>
      </c>
      <c r="G19" s="795">
        <f>IF(ISNUMBER(F19/B19),F19/B19," - ")</f>
        <v>214</v>
      </c>
      <c r="H19" s="794">
        <f>SUBTOTAL(9,H8:H18)</f>
        <v>702</v>
      </c>
      <c r="I19" s="795">
        <f>IF(ISNUMBER(H19/B19),H19/B19," - ")</f>
        <v>117</v>
      </c>
    </row>
    <row r="22" spans="1:78">
      <c r="A22" s="391" t="str">
        <f>Criterios!A4</f>
        <v>Fecha Informe: 27 feb. 2025</v>
      </c>
    </row>
    <row r="27" spans="1:78">
      <c r="A27" s="414"/>
    </row>
  </sheetData>
  <sheetProtection algorithmName="SHA-512" hashValue="UcaS7mIc+PpvoBE8vDQnvcAV1S1OHoyGwoDMwMmrKagpkOLdfgDt4gUZ/yvzVrmlF6QGIUNfMInUm64Mp0fuDQ==" saltValue="82zZQKjgkXIQ4pbLyO0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ZAMORA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378</v>
      </c>
      <c r="C12" s="434">
        <f>IF(ISNUMBER(Datos!Q12),Datos!Q12," - ")</f>
        <v>648</v>
      </c>
      <c r="D12" s="408">
        <f>IF(ISNUMBER(Datos!R12),Datos!R12," - ")</f>
        <v>4099</v>
      </c>
    </row>
    <row r="13" spans="1:4" ht="14.25" thickTop="1" thickBot="1">
      <c r="A13" s="848" t="str">
        <f>Datos!A13</f>
        <v>TOTAL</v>
      </c>
      <c r="B13" s="849">
        <f>SUBTOTAL(9,B9:B12)</f>
        <v>378</v>
      </c>
      <c r="C13" s="853">
        <f>SUBTOTAL(9,C9:C12)</f>
        <v>649</v>
      </c>
      <c r="D13" s="851">
        <f>SUBTOTAL(9,D9:D12)</f>
        <v>4099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64</v>
      </c>
      <c r="C16" s="434">
        <f>IF(ISNUMBER(Datos!Q16),Datos!Q16," - ")</f>
        <v>49</v>
      </c>
      <c r="D16" s="408">
        <f>IF(ISNUMBER(Datos!R16),Datos!R16," - ")</f>
        <v>189</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65</v>
      </c>
      <c r="C18" s="853">
        <f>SUBTOTAL(9,C15:C17)</f>
        <v>49</v>
      </c>
      <c r="D18" s="851">
        <f>SUBTOTAL(9,D15:D17)</f>
        <v>192</v>
      </c>
    </row>
    <row r="19" spans="1:4" ht="16.5" customHeight="1" thickTop="1" thickBot="1">
      <c r="A19" s="793" t="str">
        <f>Datos!A19</f>
        <v>TOTAL JURISDICCIONES</v>
      </c>
      <c r="B19" s="798">
        <f>SUBTOTAL(9,B8:B18)</f>
        <v>443</v>
      </c>
      <c r="C19" s="799">
        <f>SUBTOTAL(9,C8:C18)</f>
        <v>698</v>
      </c>
      <c r="D19" s="800">
        <f>SUBTOTAL(9,D8:D18)</f>
        <v>4291</v>
      </c>
    </row>
    <row r="20" spans="1:4" ht="7.5" customHeight="1"/>
    <row r="21" spans="1:4" ht="6" customHeight="1"/>
    <row r="22" spans="1:4">
      <c r="A22" s="391" t="str">
        <f>Criterios!A4</f>
        <v>Fecha Informe: 27 feb. 2025</v>
      </c>
    </row>
    <row r="27" spans="1:4">
      <c r="A27" s="414"/>
    </row>
  </sheetData>
  <sheetProtection algorithmName="SHA-512" hashValue="2EFJDov/Iye0X9DnjruK4oq+00DOCKAYo+9Z9lMdfqwEq2fN6rgFn7vsnwS/ZLUsbao6LrR0xRC60S0nsPcFtQ==" saltValue="im8EwOVx4moQbCfdCFBZ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ZAMORA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-0.70588235294117652</v>
      </c>
      <c r="C10" s="456">
        <f>IF(ISNUMBER((Datos!J10-Datos!T10)/Datos!T10),(Datos!J10-Datos!T10)/Datos!T10," - ")</f>
        <v>-0.75</v>
      </c>
      <c r="D10" s="456">
        <f>IF(ISNUMBER((Datos!K10-Datos!U10)/Datos!U10),(Datos!K10-Datos!U10)/Datos!U10," - ")</f>
        <v>-1</v>
      </c>
      <c r="E10" s="456">
        <f>IF(ISNUMBER((Datos!L10-Datos!V10)/Datos!V10),(Datos!L10-Datos!V10)/Datos!V10," - ")</f>
        <v>-0.5714285714285714</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-1.7196904557179708E-2</v>
      </c>
      <c r="C12" s="456">
        <f>IF(ISNUMBER(
   IF(J_V="SI",(Datos!J12-Datos!T12)/Datos!T12,(Datos!J12+Datos!Z12-(Datos!T12+Datos!AH12))/(Datos!T12+Datos!AH12))
     ),IF(J_V="SI",(Datos!J12-Datos!T12)/Datos!T12,(Datos!J12+Datos!Z12-(Datos!T12+Datos!AH12))/(Datos!T12+Datos!AH12))," - ")</f>
        <v>0.16302652106084242</v>
      </c>
      <c r="D12" s="456">
        <f>IF(ISNUMBER(
   IF(J_V="SI",(Datos!K12-Datos!U12)/Datos!U12,(Datos!K12+Datos!AA12-(Datos!U12+Datos!AI12))/(Datos!U12+Datos!AI12))
     ),IF(J_V="SI",(Datos!K12-Datos!U12)/Datos!U12,(Datos!K12+Datos!AA12-(Datos!U12+Datos!AI12))/(Datos!U12+Datos!AI12))," - ")</f>
        <v>0.4867330016583748</v>
      </c>
      <c r="E12" s="456">
        <f>IF(ISNUMBER(
   IF(J_V="SI",(Datos!L12-Datos!V12)/Datos!V12,(Datos!L12+Datos!AB12-(Datos!V12+Datos!AJ12))/(Datos!V12+Datos!AJ12))
     ),IF(J_V="SI",(Datos!L12-Datos!V12)/Datos!V12,(Datos!L12+Datos!AB12-(Datos!V12+Datos!AJ12))/(Datos!V12+Datos!AJ12))," - ")</f>
        <v>-0.12286115007012623</v>
      </c>
      <c r="F12" s="456">
        <f>IF(ISNUMBER((Datos!M12-Datos!W12)/Datos!W12),(Datos!M12-Datos!W12)/Datos!W12," - ")</f>
        <v>1.5272108843537415</v>
      </c>
      <c r="G12" s="457">
        <f>IF(ISNUMBER((Datos!N12-Datos!X12)/Datos!X12),(Datos!N12-Datos!X12)/Datos!X12," - ")</f>
        <v>0.21076233183856502</v>
      </c>
      <c r="H12" s="455">
        <f>IF(ISNUMBER(((NºAsuntos!G12/NºAsuntos!E12)-Datos!BD12)/Datos!BD12),((NºAsuntos!G12/NºAsuntos!E12)-Datos!BD12)/Datos!BD12," - ")</f>
        <v>0.27833112550371336</v>
      </c>
      <c r="I12" s="456">
        <f>IF(ISNUMBER(((NºAsuntos!I12/NºAsuntos!G12)-Datos!BE12)/Datos!BE12),((NºAsuntos!I12/NºAsuntos!G12)-Datos!BE12)/Datos!BE12," - ")</f>
        <v>-0.41002261404605256</v>
      </c>
      <c r="J12" s="461">
        <f>IF(ISNUMBER((('Resol  Asuntos'!D12/NºAsuntos!G12)-Datos!BF12)/Datos!BF12),(('Resol  Asuntos'!D12/NºAsuntos!G12)-Datos!BF12)/Datos!BF12," - ")</f>
        <v>0.12052351071306205</v>
      </c>
      <c r="K12" s="462">
        <f>IF(ISNUMBER((((NºAsuntos!C12+NºAsuntos!E12)/NºAsuntos!G12)-Datos!BG12)/Datos!BG12),(((NºAsuntos!C12+NºAsuntos!E12)/NºAsuntos!G12)-Datos!BG12)/Datos!BG12," - ")</f>
        <v>-0.30637824755275139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-2.0536223616657159E-2</v>
      </c>
      <c r="C13" s="855">
        <f>IF(ISNUMBER(
   IF(J_V="SI",(Datos!J13-Datos!T13)/Datos!T13,(Datos!J13+Datos!Z13-(Datos!T13+Datos!AH13))/(Datos!T13+Datos!AH13))
     ),IF(J_V="SI",(Datos!J13-Datos!T13)/Datos!T13,(Datos!J13+Datos!Z13-(Datos!T13+Datos!AH13))/(Datos!T13+Datos!AH13))," - ")</f>
        <v>0.16018662519440124</v>
      </c>
      <c r="D13" s="855">
        <f>IF(ISNUMBER(
   IF(J_V="SI",(Datos!K13-Datos!U13)/Datos!U13,(Datos!K13+Datos!AA13-(Datos!U13+Datos!AI13))/(Datos!U13+Datos!AI13))
     ),IF(J_V="SI",(Datos!K13-Datos!U13)/Datos!U13,(Datos!K13+Datos!AA13-(Datos!U13+Datos!AI13))/(Datos!U13+Datos!AI13))," - ")</f>
        <v>0.47815333882934874</v>
      </c>
      <c r="E13" s="855">
        <f>IF(ISNUMBER(
   IF(J_V="SI",(Datos!L13-Datos!V13)/Datos!V13,(Datos!L13+Datos!AB13-(Datos!V13+Datos!AJ13))/(Datos!V13+Datos!AJ13))
     ),IF(J_V="SI",(Datos!L13-Datos!V13)/Datos!V13,(Datos!L13+Datos!AB13-(Datos!V13+Datos!AJ13))/(Datos!V13+Datos!AJ13))," - ")</f>
        <v>-0.12461581447331657</v>
      </c>
      <c r="F13" s="856">
        <f>IF(ISNUMBER((Datos!M13-Datos!W13)/Datos!W13),(Datos!M13-Datos!W13)/Datos!W13," - ")</f>
        <v>1.5101351351351351</v>
      </c>
      <c r="G13" s="857">
        <f>IF(ISNUMBER((Datos!N13-Datos!X13)/Datos!X13),(Datos!N13-Datos!X13)/Datos!X13," - ")</f>
        <v>0.20535714285714285</v>
      </c>
      <c r="H13" s="857">
        <f>IF(ISNUMBER(((NºAsuntos!G13/NºAsuntos!E13)-Datos!BD13)/Datos!BD13),((NºAsuntos!G13/NºAsuntos!E13)-Datos!BD13)/Datos!BD13," - ")</f>
        <v>0.27406514325371467</v>
      </c>
      <c r="I13" s="857">
        <f>IF(ISNUMBER(((NºAsuntos!I13/NºAsuntos!G13)-Datos!BE13)/Datos!BE13),((NºAsuntos!I13/NºAsuntos!G13)-Datos!BE13)/Datos!BE13," - ")</f>
        <v>-0.40778526656783776</v>
      </c>
      <c r="J13" s="857">
        <f>IF(ISNUMBER((('Resol  Asuntos'!D13/NºAsuntos!G13)-Datos!BF13)/Datos!BF13),(('Resol  Asuntos'!D13/NºAsuntos!G13)-Datos!BF13)/Datos!BF13," - ")</f>
        <v>0.12199600629431916</v>
      </c>
      <c r="K13" s="857">
        <f>IF(ISNUMBER((((NºAsuntos!C13+NºAsuntos!E13)/NºAsuntos!G13)-Datos!BG13)/Datos!BG13),(((NºAsuntos!C13+NºAsuntos!E13)/NºAsuntos!G13)-Datos!BG13)/Datos!BG13," - ")</f>
        <v>-0.30456249354054488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-0.24944320712694878</v>
      </c>
      <c r="C16" s="456">
        <f>IF(ISNUMBER(
   IF(D_I="SI",(Datos!J16-Datos!T16)/Datos!T16,(Datos!J16+Datos!AD16-(Datos!T16+Datos!AL16))/(Datos!T16+Datos!AL16))
     ),IF(D_I="SI",(Datos!J16-Datos!T16)/Datos!T16,(Datos!J16+Datos!AD16-(Datos!T16+Datos!AL16))/(Datos!T16+Datos!AL16))," - ")</f>
        <v>-7.4999999999999997E-2</v>
      </c>
      <c r="D16" s="456">
        <f>IF(ISNUMBER(
   IF(D_I="SI",(Datos!K16-Datos!U16)/Datos!U16,(Datos!K16+Datos!AE16-(Datos!U16+Datos!AM16))/(Datos!U16+Datos!AM16))
     ),IF(D_I="SI",(Datos!K16-Datos!U16)/Datos!U16,(Datos!K16+Datos!AE16-(Datos!U16+Datos!AM16))/(Datos!U16+Datos!AM16))," - ")</f>
        <v>-0.11118737131091283</v>
      </c>
      <c r="E16" s="456">
        <f>IF(ISNUMBER(
   IF(D_I="SI",(Datos!L16-Datos!V16)/Datos!V16,(Datos!L16+Datos!AF16-(Datos!V16+Datos!AN16))/(Datos!V16+Datos!AN16))
     ),IF(D_I="SI",(Datos!L16-Datos!V16)/Datos!V16,(Datos!L16+Datos!AF16-(Datos!V16+Datos!AN16))/(Datos!V16+Datos!AN16))," - ")</f>
        <v>-0.22288795686039545</v>
      </c>
      <c r="F16" s="456">
        <f>IF(ISNUMBER((Datos!M16-Datos!W16)/Datos!W16),(Datos!M16-Datos!W16)/Datos!W16," - ")</f>
        <v>0.28676470588235292</v>
      </c>
      <c r="G16" s="457">
        <f>IF(ISNUMBER((Datos!N16-Datos!X16)/Datos!X16),(Datos!N16-Datos!X16)/Datos!X16," - ")</f>
        <v>-0.14163614163614163</v>
      </c>
      <c r="H16" s="455">
        <f>IF(ISNUMBER(((NºAsuntos!G16/NºAsuntos!E16)-Datos!BD16)/Datos!BD16),((NºAsuntos!G16/NºAsuntos!E16)-Datos!BD16)/Datos!BD16," - ")</f>
        <v>-3.912148249828417E-2</v>
      </c>
      <c r="I16" s="456">
        <f>IF(ISNUMBER(((NºAsuntos!I16/NºAsuntos!G16)-Datos!BE16)/Datos!BE16),((NºAsuntos!I16/NºAsuntos!G16)-Datos!BE16)/Datos!BE16," - ")</f>
        <v>-0.12567394065297011</v>
      </c>
      <c r="J16" s="461">
        <f>IF(ISNUMBER((('Resol  Asuntos'!D16/NºAsuntos!G16)-Datos!BF16)/Datos!BF16),(('Resol  Asuntos'!D16/NºAsuntos!G16)-Datos!BF16)/Datos!BF16," - ")</f>
        <v>0.44773449920508762</v>
      </c>
      <c r="K16" s="462">
        <f>IF(ISNUMBER((((NºAsuntos!C16+NºAsuntos!E16)/NºAsuntos!G16)-Datos!BG16)/Datos!BG16),(((NºAsuntos!C16+NºAsuntos!E16)/NºAsuntos!G16)-Datos!BG16)/Datos!BG16," - ")</f>
        <v>-7.2409187107518244E-2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0.57943925233644855</v>
      </c>
      <c r="C17" s="456">
        <f>IF(ISNUMBER(
   IF(D_I="SI",(Datos!J17-Datos!T17)/Datos!T17,(Datos!J17+Datos!AD17-(Datos!T17+Datos!AL17))/(Datos!T17+Datos!AL17))
     ),IF(D_I="SI",(Datos!J17-Datos!T17)/Datos!T17,(Datos!J17+Datos!AD17-(Datos!T17+Datos!AL17))/(Datos!T17+Datos!AL17))," - ")</f>
        <v>-1.282051282051282E-2</v>
      </c>
      <c r="D17" s="456">
        <f>IF(ISNUMBER(
   IF(D_I="SI",(Datos!K17-Datos!U17)/Datos!U17,(Datos!K17+Datos!AE17-(Datos!U17+Datos!AM17))/(Datos!U17+Datos!AM17))
     ),IF(D_I="SI",(Datos!K17-Datos!U17)/Datos!U17,(Datos!K17+Datos!AE17-(Datos!U17+Datos!AM17))/(Datos!U17+Datos!AM17))," - ")</f>
        <v>0.13793103448275862</v>
      </c>
      <c r="E17" s="456">
        <f>IF(ISNUMBER(
   IF(D_I="SI",(Datos!L17-Datos!V17)/Datos!V17,(Datos!L17+Datos!AF17-(Datos!V17+Datos!AN17))/(Datos!V17+Datos!AN17))
     ),IF(D_I="SI",(Datos!L17-Datos!V17)/Datos!V17,(Datos!L17+Datos!AF17-(Datos!V17+Datos!AN17))/(Datos!V17+Datos!AN17))," - ")</f>
        <v>0.42519685039370081</v>
      </c>
      <c r="F17" s="456">
        <f>IF(ISNUMBER((Datos!M17-Datos!W17)/Datos!W17),(Datos!M17-Datos!W17)/Datos!W17," - ")</f>
        <v>-1</v>
      </c>
      <c r="G17" s="457">
        <f>IF(ISNUMBER((Datos!N17-Datos!X17)/Datos!X17),(Datos!N17-Datos!X17)/Datos!X17," - ")</f>
        <v>-0.2807017543859649</v>
      </c>
      <c r="H17" s="455">
        <f>IF(ISNUMBER(((NºAsuntos!G17/NºAsuntos!E17)-Datos!BD17)/Datos!BD17),((NºAsuntos!G17/NºAsuntos!E17)-Datos!BD17)/Datos!BD17," - ")</f>
        <v>0.15270935960591123</v>
      </c>
      <c r="I17" s="456">
        <f>IF(ISNUMBER(((NºAsuntos!I17/NºAsuntos!G17)-Datos!BE17)/Datos!BE17),((NºAsuntos!I17/NºAsuntos!G17)-Datos!BE17)/Datos!BE17," - ")</f>
        <v>0.25244571701264601</v>
      </c>
      <c r="J17" s="461">
        <f>IF(ISNUMBER((('Resol  Asuntos'!D17/NºAsuntos!G17)-Datos!BF17)/Datos!BF17),(('Resol  Asuntos'!D17/NºAsuntos!G17)-Datos!BF17)/Datos!BF17," - ")</f>
        <v>-1</v>
      </c>
      <c r="K17" s="462">
        <f>IF(ISNUMBER((((NºAsuntos!C17+NºAsuntos!E17)/NºAsuntos!G17)-Datos!BG17)/Datos!BG17),(((NºAsuntos!C17+NºAsuntos!E17)/NºAsuntos!G17)-Datos!BG17)/Datos!BG17," - ")</f>
        <v>0.16855036855036848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-0.20283762480294273</v>
      </c>
      <c r="C18" s="855">
        <f>IF(ISNUMBER(
   IF(Criterios!B14="SI",(Datos!J18-Datos!T18)/Datos!T18,(Datos!J18+Datos!AD18-(Datos!T18+Datos!AL18))/(Datos!T18+Datos!AL18))
     ),IF(Criterios!B14="SI",(Datos!J18-Datos!T18)/Datos!T18,(Datos!J18+Datos!AD18-(Datos!T18+Datos!AL18))/(Datos!T18+Datos!AL18))," - ")</f>
        <v>-7.1530758226037203E-2</v>
      </c>
      <c r="D18" s="855">
        <f>IF(ISNUMBER(
   IF(Criterios!B14="SI",(Datos!K18-Datos!U18)/Datos!U18,(Datos!K18+Datos!AE18-(Datos!U18+Datos!AM18))/(Datos!U18+Datos!AM18))
     ),IF(Criterios!B14="SI",(Datos!K18-Datos!U18)/Datos!U18,(Datos!K18+Datos!AE18-(Datos!U18+Datos!AM18))/(Datos!U18+Datos!AM18))," - ")</f>
        <v>-0.10165016501650165</v>
      </c>
      <c r="E18" s="855">
        <f>IF(ISNUMBER(
   IF(Criterios!B14="SI",(Datos!L18-Datos!V18)/Datos!V18,(Datos!L18+Datos!AF18-(Datos!V18+Datos!AN18))/(Datos!V18+Datos!AN18))
     ),IF(Criterios!B14="SI",(Datos!L18-Datos!V18)/Datos!V18,(Datos!L18+Datos!AF18-(Datos!V18+Datos!AN18))/(Datos!V18+Datos!AN18))," - ")</f>
        <v>-0.17706013363028952</v>
      </c>
      <c r="F18" s="856">
        <f>IF(ISNUMBER((Datos!M18-Datos!W18)/Datos!W18),(Datos!M18-Datos!W18)/Datos!W18," - ")</f>
        <v>0.27737226277372262</v>
      </c>
      <c r="G18" s="857">
        <f>IF(ISNUMBER((Datos!N18-Datos!X18)/Datos!X18),(Datos!N18-Datos!X18)/Datos!X18," - ")</f>
        <v>-0.15068493150684931</v>
      </c>
      <c r="H18" s="857">
        <f>IF(ISNUMBER(((NºAsuntos!G18/NºAsuntos!E18)-Datos!BD18)/Datos!BD18),((NºAsuntos!G18/NºAsuntos!E18)-Datos!BD18)/Datos!BD18," - ")</f>
        <v>-3.2439854154907008E-2</v>
      </c>
      <c r="I18" s="857">
        <f>IF(ISNUMBER(((NºAsuntos!I18/NºAsuntos!G18)-Datos!BE18)/Datos!BE18),((NºAsuntos!I18/NºAsuntos!G18)-Datos!BE18)/Datos!BE18," - ")</f>
        <v>-8.3942764474569331E-2</v>
      </c>
      <c r="J18" s="857">
        <f>IF(ISNUMBER((('Resol  Asuntos'!D18/NºAsuntos!G18)-Datos!BF18)/Datos!BF18),(('Resol  Asuntos'!D18/NºAsuntos!G18)-Datos!BF18)/Datos!BF18," - ")</f>
        <v>0.4219096091860321</v>
      </c>
      <c r="K18" s="857">
        <f>IF(ISNUMBER((((NºAsuntos!C18+NºAsuntos!E18)/NºAsuntos!G18)-Datos!BG18)/Datos!BG18),(((NºAsuntos!C18+NºAsuntos!E18)/NºAsuntos!G18)-Datos!BG18)/Datos!BG18," - ")</f>
        <v>-5.0735187898664082E-2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-8.4673691994823441E-2</v>
      </c>
      <c r="C19" s="802">
        <f>IF(ISNUMBER(
   IF(J_V="SI",(Datos!J19-Datos!T19)/Datos!T19,(Datos!J19+Datos!Z19-(Datos!T19+Datos!AH19))/(Datos!T19+Datos!AH19))
     ),IF(J_V="SI",(Datos!J19-Datos!T19)/Datos!T19,(Datos!J19+Datos!Z19-(Datos!T19+Datos!AH19))/(Datos!T19+Datos!AH19))," - ")</f>
        <v>3.9493293591654245E-2</v>
      </c>
      <c r="D19" s="802">
        <f>IF(ISNUMBER(
   IF(J_V="SI",(Datos!K19-Datos!U19)/Datos!U19,(Datos!K19+Datos!AA19-(Datos!U19+Datos!AI19))/(Datos!U19+Datos!AI19))
     ),IF(J_V="SI",(Datos!K19-Datos!U19)/Datos!U19,(Datos!K19+Datos!AA19-(Datos!U19+Datos!AI19))/(Datos!U19+Datos!AI19))," - ")</f>
        <v>0.156158357771261</v>
      </c>
      <c r="E19" s="802">
        <f>IF(ISNUMBER(
   IF(J_V="SI",(Datos!L19-Datos!V19)/Datos!V19,(Datos!L19+Datos!AB19-(Datos!V19+Datos!AJ19))/(Datos!V19+Datos!AJ19))
     ),IF(J_V="SI",(Datos!L19-Datos!V19)/Datos!V19,(Datos!L19+Datos!AB19-(Datos!V19+Datos!AJ19))/(Datos!V19+Datos!AJ19))," - ")</f>
        <v>-0.14213953488372094</v>
      </c>
      <c r="F19" s="803">
        <f>IF(ISNUMBER((Datos!M19-Datos!W19)/Datos!W19),(Datos!M19-Datos!W19)/Datos!W19," - ")</f>
        <v>1.1200923787528869</v>
      </c>
      <c r="G19" s="804">
        <f>IF(ISNUMBER((Datos!N19-Datos!X19)/Datos!X19),(Datos!N19-Datos!X19)/Datos!X19," - ")</f>
        <v>-3.0211480362537766E-2</v>
      </c>
      <c r="H19" s="805">
        <f>IF(ISNUMBER((Tasas!B19-Datos!BD19)/Datos!BD19),(Tasas!B19-Datos!BD19)/Datos!BD19," - ")</f>
        <v>0.11223262804948546</v>
      </c>
      <c r="I19" s="806">
        <f>IF(ISNUMBER((Tasas!C19-Datos!BE19)/Datos!BE19),(Tasas!C19-Datos!BE19)/Datos!BE19," - ")</f>
        <v>-0.25800781584108773</v>
      </c>
      <c r="J19" s="807">
        <f>IF(ISNUMBER((Tasas!D19-Datos!BF19)/Datos!BF19),(Tasas!D19-Datos!BF19)/Datos!BF19," - ")</f>
        <v>0.35728013267645486</v>
      </c>
      <c r="K19" s="807">
        <f>IF(ISNUMBER((Tasas!E19-Datos!BG19)/Datos!BG19),(Tasas!E19-Datos!BG19)/Datos!BG19," - ")</f>
        <v>-0.17268632301680664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1l9jdl76TaGFRK4CjTmSMaAZuWa8HgMysPDmtf/DTBe7SHiv4O9jlywXcNaicJQzfsjufjYu7NoAPtSiK5MNg==" saltValue="/kDNZPN/sUp6l00A3/vl8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ZAMORA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1.2025486250838364</v>
      </c>
      <c r="C12" s="443">
        <f>IF(ISNUMBER(NºAsuntos!I12/NºAsuntos!G12),NºAsuntos!I12/NºAsuntos!G12," - ")</f>
        <v>1.7440044617958728</v>
      </c>
      <c r="D12" s="444">
        <f>IF(ISNUMBER('Resol  Asuntos'!D12/NºAsuntos!G12),'Resol  Asuntos'!D12/NºAsuntos!G12," - ")</f>
        <v>0.41438929168990518</v>
      </c>
      <c r="E12" s="445">
        <f>IF(ISNUMBER((NºAsuntos!C12+NºAsuntos!E12)/NºAsuntos!G12),(NºAsuntos!C12+NºAsuntos!E12)/NºAsuntos!G12," - ")</f>
        <v>2.744004461795873</v>
      </c>
      <c r="G12" s="463"/>
    </row>
    <row r="13" spans="1:7" ht="14.25" thickTop="1" thickBot="1">
      <c r="A13" s="848" t="str">
        <f>Datos!A13</f>
        <v>TOTAL</v>
      </c>
      <c r="B13" s="858">
        <f>IF(ISNUMBER(NºAsuntos!G13/NºAsuntos!E13),NºAsuntos!G13/NºAsuntos!E13," - ")</f>
        <v>1.2017426273458445</v>
      </c>
      <c r="C13" s="859">
        <f>IF(ISNUMBER(NºAsuntos!I13/NºAsuntos!G13),NºAsuntos!I13/NºAsuntos!G13," - ")</f>
        <v>1.7473508087005019</v>
      </c>
      <c r="D13" s="860">
        <f>IF(ISNUMBER('Resol  Asuntos'!D13/NºAsuntos!G13),'Resol  Asuntos'!D13/NºAsuntos!G13," - ")</f>
        <v>0.41438929168990518</v>
      </c>
      <c r="E13" s="861">
        <f>IF(ISNUMBER((NºAsuntos!C13+NºAsuntos!E13)/NºAsuntos!G13),(NºAsuntos!C13+NºAsuntos!E13)/NºAsuntos!G13," - ")</f>
        <v>2.7473508087005021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1.0606060606060606</v>
      </c>
      <c r="C16" s="443">
        <f>IF(ISNUMBER(NºAsuntos!I16/NºAsuntos!G16),NºAsuntos!I16/NºAsuntos!G16," - ")</f>
        <v>1.0015444015444015</v>
      </c>
      <c r="D16" s="444">
        <f>IF(ISNUMBER('Resol  Asuntos'!D16/NºAsuntos!G16),'Resol  Asuntos'!D16/NºAsuntos!G16," - ")</f>
        <v>0.13513513513513514</v>
      </c>
      <c r="E16" s="445">
        <f>IF(ISNUMBER((NºAsuntos!C16+NºAsuntos!E16)/NºAsuntos!G16),(NºAsuntos!C16+NºAsuntos!E16)/NºAsuntos!G16," - ")</f>
        <v>1.9837837837837837</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2.7424242424242422</v>
      </c>
      <c r="D17" s="444">
        <f>IF(ISNUMBER('Resol  Asuntos'!D17/NºAsuntos!G17),'Resol  Asuntos'!D17/NºAsuntos!G17," - ")</f>
        <v>0</v>
      </c>
      <c r="E17" s="445">
        <f>IF(ISNUMBER((NºAsuntos!C17+NºAsuntos!E17)/NºAsuntos!G17),(NºAsuntos!C17+NºAsuntos!E17)/NºAsuntos!G17," - ")</f>
        <v>3.7272727272727271</v>
      </c>
      <c r="G17" s="463"/>
    </row>
    <row r="18" spans="1:7" ht="14.25" thickTop="1" thickBot="1">
      <c r="A18" s="848" t="str">
        <f>Datos!A18</f>
        <v>TOTAL</v>
      </c>
      <c r="B18" s="858">
        <f>IF(ISNUMBER(NºAsuntos!G18/NºAsuntos!E18),NºAsuntos!G18/NºAsuntos!E18," - ")</f>
        <v>1.0485362095531587</v>
      </c>
      <c r="C18" s="859">
        <f>IF(ISNUMBER(NºAsuntos!I18/NºAsuntos!G18),NºAsuntos!I18/NºAsuntos!G18," - ")</f>
        <v>1.0859662013225568</v>
      </c>
      <c r="D18" s="862">
        <f>IF(ISNUMBER('Resol  Asuntos'!D18/NºAsuntos!G18),'Resol  Asuntos'!D18/NºAsuntos!G18," - ")</f>
        <v>0.12858192505510654</v>
      </c>
      <c r="E18" s="861">
        <f>IF(ISNUMBER((NºAsuntos!C18+NºAsuntos!E18)/NºAsuntos!G18),(NºAsuntos!C18+NºAsuntos!E18)/NºAsuntos!G18," - ")</f>
        <v>2.0683321087435709</v>
      </c>
      <c r="G18" s="463"/>
    </row>
    <row r="19" spans="1:7" ht="15.75" customHeight="1" thickTop="1" thickBot="1">
      <c r="A19" s="793" t="str">
        <f>Datos!A19</f>
        <v>TOTAL JURISDICCIONES</v>
      </c>
      <c r="B19" s="808">
        <f>IF(ISNUMBER(NºAsuntos!G19/NºAsuntos!E19),NºAsuntos!G19/NºAsuntos!E19," - ")</f>
        <v>1.1304659498207885</v>
      </c>
      <c r="C19" s="809">
        <f>IF(ISNUMBER(NºAsuntos!I19/NºAsuntos!G19),NºAsuntos!I19/NºAsuntos!G19," - ")</f>
        <v>1.4619530754597336</v>
      </c>
      <c r="D19" s="810">
        <f>IF(ISNUMBER('Resol  Asuntos'!D19/NºAsuntos!G19),'Resol  Asuntos'!D19/NºAsuntos!G19," - ")</f>
        <v>0.29105897273303744</v>
      </c>
      <c r="E19" s="811">
        <f>IF(ISNUMBER((NºAsuntos!C19+NºAsuntos!E19)/NºAsuntos!G19),(NºAsuntos!C19+NºAsuntos!E19)/NºAsuntos!G19," - ")</f>
        <v>2.4543436905516804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rTRq+iCuvuK9Qt6Rza5QNCBZUtj2Q8ndC+kIrIeUrBAdsI3HsT4lIOzF+RNH1KIu1bnD1Fgs/FdOuY8QPCmRA==" saltValue="fPbWKW5+QqoxElvwNDv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ZAMORA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v>
      </c>
      <c r="Y10" s="334">
        <f t="shared" ref="Y10:Y12" si="0">SUM(W10:X10)</f>
        <v>1</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648</v>
      </c>
      <c r="Y12" s="334">
        <f t="shared" si="0"/>
        <v>648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743</v>
      </c>
      <c r="AJ12" s="229" t="str">
        <f>IF(ISNUMBER(Datos!BW12),Datos!BW12," - ")</f>
        <v xml:space="preserve"> - </v>
      </c>
      <c r="AK12" s="228" t="str">
        <f>IF(ISNUMBER(Datos!BX12),Datos!BX12," - ")</f>
        <v xml:space="preserve"> - </v>
      </c>
      <c r="AL12" s="243">
        <f>IF(ISNUMBER(NºAsuntos!G12/NºAsuntos!E12),NºAsuntos!G12/NºAsuntos!E12," - ")</f>
        <v>1.2025486250838364</v>
      </c>
      <c r="AM12" s="260">
        <f>IF(ISNUMBER(((NºAsuntos!I12/NºAsuntos!G12)*11)/factor_trimestre),((NºAsuntos!I12/NºAsuntos!G12)*11)/factor_trimestre," - ")</f>
        <v>5.232013385387619</v>
      </c>
      <c r="AN12" s="244">
        <f>IF(ISNUMBER('Resol  Asuntos'!D12/NºAsuntos!G12),'Resol  Asuntos'!D12/NºAsuntos!G12," - ")</f>
        <v>0.41438929168990518</v>
      </c>
      <c r="AO12" s="245">
        <f>IF(ISNUMBER((NºAsuntos!C12+NºAsuntos!E12)/NºAsuntos!G12),(NºAsuntos!C12+NºAsuntos!E12)/NºAsuntos!G12," - ")</f>
        <v>2.744004461795873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5</v>
      </c>
      <c r="G13" s="866">
        <f t="shared" si="3"/>
        <v>5</v>
      </c>
      <c r="H13" s="865">
        <f t="shared" si="3"/>
        <v>0</v>
      </c>
      <c r="I13" s="867">
        <f t="shared" si="3"/>
        <v>0</v>
      </c>
      <c r="J13" s="867">
        <f t="shared" si="3"/>
        <v>0</v>
      </c>
      <c r="K13" s="867">
        <f t="shared" si="3"/>
        <v>0</v>
      </c>
      <c r="L13" s="867">
        <f t="shared" si="3"/>
        <v>378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649</v>
      </c>
      <c r="Y13" s="868">
        <f t="shared" si="4"/>
        <v>649</v>
      </c>
      <c r="Z13" s="868">
        <f t="shared" si="4"/>
        <v>0</v>
      </c>
      <c r="AA13" s="868">
        <f t="shared" si="4"/>
        <v>6</v>
      </c>
      <c r="AB13" s="868">
        <f t="shared" si="4"/>
        <v>4099</v>
      </c>
      <c r="AC13" s="868">
        <f t="shared" si="4"/>
        <v>6</v>
      </c>
      <c r="AD13" s="868">
        <f t="shared" si="4"/>
        <v>0</v>
      </c>
      <c r="AE13" s="872">
        <f t="shared" si="4"/>
        <v>0</v>
      </c>
      <c r="AF13" s="865">
        <f t="shared" si="4"/>
        <v>0</v>
      </c>
      <c r="AG13" s="873">
        <f t="shared" si="4"/>
        <v>0</v>
      </c>
      <c r="AH13" s="870">
        <f t="shared" si="4"/>
        <v>0</v>
      </c>
      <c r="AI13" s="865">
        <f t="shared" si="4"/>
        <v>743</v>
      </c>
      <c r="AJ13" s="867">
        <f t="shared" si="4"/>
        <v>0</v>
      </c>
      <c r="AK13" s="870">
        <f>SUBTOTAL(9,AK9:AK12)</f>
        <v>0</v>
      </c>
      <c r="AL13" s="874">
        <f>IF(ISNUMBER(NºAsuntos!G13/NºAsuntos!E13),NºAsuntos!G13/NºAsuntos!E13," - ")</f>
        <v>1.2017426273458445</v>
      </c>
      <c r="AM13" s="874">
        <f>IF(ISNUMBER(((NºAsuntos!I13/NºAsuntos!G13)*11)/factor_trimestre),((NºAsuntos!I13/NºAsuntos!G13)*11)/factor_trimestre," - ")</f>
        <v>5.2420524261015062</v>
      </c>
      <c r="AN13" s="875">
        <f>IF(ISNUMBER('Resol  Asuntos'!D13/NºAsuntos!G13),'Resol  Asuntos'!D13/NºAsuntos!G13," - ")</f>
        <v>0.41438929168990518</v>
      </c>
      <c r="AO13" s="876">
        <f>IF(ISNUMBER((NºAsuntos!C13+NºAsuntos!E13)/NºAsuntos!G13),(NºAsuntos!C13+NºAsuntos!E13)/NºAsuntos!G13," - ")</f>
        <v>2.7473508087005021</v>
      </c>
      <c r="AP13" s="877" t="str">
        <f t="shared" si="2"/>
        <v xml:space="preserve"> - </v>
      </c>
      <c r="AQ13" s="877">
        <f>IF(ISNUMBER((H13-W13+K13)/(F13)),(H13-W13+K13)/(F13)," - ")</f>
        <v>0</v>
      </c>
      <c r="AR13" s="878">
        <f>IF(ISNUMBER((Datos!P13-Datos!Q13)/(Datos!R13-Datos!P13+Datos!Q13)),(Datos!P13-Datos!Q13)/(Datos!R13-Datos!P13+Datos!Q13)," - ")</f>
        <v>-6.2013729977116704E-2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1371</v>
      </c>
      <c r="G16" s="333">
        <f>IF(ISNUMBER(IF(D_I="SI",Datos!I16,Datos!I16+Datos!AC16)),IF(D_I="SI",Datos!I16,Datos!I16+Datos!AC16)," - ")</f>
        <v>1348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1295</v>
      </c>
      <c r="X16" s="226">
        <f>IF(ISNUMBER(Datos!Q16),Datos!Q16," - ")</f>
        <v>49</v>
      </c>
      <c r="Y16" s="334">
        <f t="shared" ref="Y16:Y17" si="7">SUM(W16:X16)</f>
        <v>1344</v>
      </c>
      <c r="Z16" s="335" t="str">
        <f>IF(ISNUMBER(Datos!CC16),Datos!CC16," - ")</f>
        <v xml:space="preserve"> - </v>
      </c>
      <c r="AA16" s="332">
        <f>IF(ISNUMBER(IF(D_I="SI",Datos!L16,Datos!L16+Datos!AF16)),IF(D_I="SI",Datos!L16,Datos!L16+Datos!AF16)," - ")</f>
        <v>1297</v>
      </c>
      <c r="AB16" s="334">
        <f>IF(ISNUMBER(Datos!R16),Datos!R16," - ")</f>
        <v>189</v>
      </c>
      <c r="AC16" s="334">
        <f t="shared" si="6"/>
        <v>1486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175</v>
      </c>
      <c r="AJ16" s="231" t="str">
        <f>IF(ISNUMBER(Datos!BW16),Datos!BW16," - ")</f>
        <v xml:space="preserve"> - </v>
      </c>
      <c r="AK16" s="232" t="str">
        <f>IF(ISNUMBER(Datos!BX16),Datos!BX16," - ")</f>
        <v xml:space="preserve"> - </v>
      </c>
      <c r="AL16" s="243">
        <f>IF(ISNUMBER(NºAsuntos!G16/NºAsuntos!E16),NºAsuntos!G16/NºAsuntos!E16," - ")</f>
        <v>1.0606060606060606</v>
      </c>
      <c r="AM16" s="260">
        <f>IF(ISNUMBER(((NºAsuntos!I16/NºAsuntos!G16)*11)/factor_trimestre),((NºAsuntos!I16/NºAsuntos!G16)*11)/factor_trimestre," - ")</f>
        <v>3.0046332046332047</v>
      </c>
      <c r="AN16" s="244">
        <f>IF(ISNUMBER('Resol  Asuntos'!D16/NºAsuntos!G16),'Resol  Asuntos'!D16/NºAsuntos!G16," - ")</f>
        <v>0.13513513513513514</v>
      </c>
      <c r="AO16" s="245">
        <f>IF(ISNUMBER((NºAsuntos!C16+NºAsuntos!E16)/NºAsuntos!G16),(NºAsuntos!C16+NºAsuntos!E16)/NºAsuntos!G16," - ")</f>
        <v>1.9837837837837837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181</v>
      </c>
      <c r="AB17" s="334">
        <f>IF(ISNUMBER(Datos!R17),Datos!R17," - ")</f>
        <v>3</v>
      </c>
      <c r="AC17" s="334">
        <f t="shared" si="6"/>
        <v>184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8.2272727272727266</v>
      </c>
      <c r="AN17" s="244">
        <f>IF(ISNUMBER('Resol  Asuntos'!D17/NºAsuntos!G17),'Resol  Asuntos'!D17/NºAsuntos!G17," - ")</f>
        <v>0</v>
      </c>
      <c r="AO17" s="245">
        <f>IF(ISNUMBER((NºAsuntos!C17+NºAsuntos!E17)/NºAsuntos!G17),(NºAsuntos!C17+NºAsuntos!E17)/NºAsuntos!G17," - ")</f>
        <v>3.7272727272727271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1371</v>
      </c>
      <c r="G18" s="866">
        <f>SUBTOTAL(9,G15:G17)</f>
        <v>1517</v>
      </c>
      <c r="H18" s="865">
        <f t="shared" ref="H18:O18" si="10">SUBTOTAL(9,H14:H17)</f>
        <v>0</v>
      </c>
      <c r="I18" s="867">
        <f t="shared" si="10"/>
        <v>0</v>
      </c>
      <c r="J18" s="867">
        <f t="shared" si="10"/>
        <v>0</v>
      </c>
      <c r="K18" s="867">
        <f t="shared" si="10"/>
        <v>0</v>
      </c>
      <c r="L18" s="867">
        <f t="shared" si="10"/>
        <v>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1361</v>
      </c>
      <c r="X18" s="867">
        <f t="shared" si="11"/>
        <v>49</v>
      </c>
      <c r="Y18" s="868">
        <f t="shared" si="11"/>
        <v>1410</v>
      </c>
      <c r="Z18" s="868">
        <f t="shared" si="11"/>
        <v>0</v>
      </c>
      <c r="AA18" s="868">
        <f t="shared" si="11"/>
        <v>1478</v>
      </c>
      <c r="AB18" s="868">
        <f t="shared" si="11"/>
        <v>192</v>
      </c>
      <c r="AC18" s="868">
        <f t="shared" si="11"/>
        <v>1670</v>
      </c>
      <c r="AD18" s="868">
        <f t="shared" si="11"/>
        <v>0</v>
      </c>
      <c r="AE18" s="872">
        <f t="shared" si="11"/>
        <v>0</v>
      </c>
      <c r="AF18" s="865">
        <f t="shared" si="11"/>
        <v>0</v>
      </c>
      <c r="AG18" s="873">
        <f t="shared" si="11"/>
        <v>0</v>
      </c>
      <c r="AH18" s="870">
        <f t="shared" si="11"/>
        <v>0</v>
      </c>
      <c r="AI18" s="865">
        <f t="shared" si="11"/>
        <v>175</v>
      </c>
      <c r="AJ18" s="867">
        <f t="shared" si="11"/>
        <v>0</v>
      </c>
      <c r="AK18" s="870">
        <f t="shared" si="11"/>
        <v>0</v>
      </c>
      <c r="AL18" s="874">
        <f>IF(ISNUMBER(NºAsuntos!G18/NºAsuntos!E18),NºAsuntos!G18/NºAsuntos!E18," - ")</f>
        <v>1.0485362095531587</v>
      </c>
      <c r="AM18" s="874">
        <f>IF(ISNUMBER(((NºAsuntos!I18/NºAsuntos!G18)*11)/factor_trimestre),((NºAsuntos!I18/NºAsuntos!G18)*11)/factor_trimestre," - ")</f>
        <v>3.2578986039676709</v>
      </c>
      <c r="AN18" s="875">
        <f>IF(ISNUMBER('Resol  Asuntos'!D18/NºAsuntos!G18),'Resol  Asuntos'!D18/NºAsuntos!G18," - ")</f>
        <v>0.12858192505510654</v>
      </c>
      <c r="AO18" s="876">
        <f>IF(ISNUMBER((NºAsuntos!C18+NºAsuntos!E18)/NºAsuntos!G18),(NºAsuntos!C18+NºAsuntos!E18)/NºAsuntos!G18," - ")</f>
        <v>2.0683321087435709</v>
      </c>
      <c r="AP18" s="877" t="str">
        <f t="shared" si="2"/>
        <v xml:space="preserve"> - </v>
      </c>
      <c r="AQ18" s="877">
        <f>IF(ISNUMBER((H18-W18+K18)/(F18)),(H18-W18+K18)/(F18)," - ")</f>
        <v>-0.99270605397520062</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1376</v>
      </c>
      <c r="G19" s="821">
        <f t="shared" si="13"/>
        <v>1522</v>
      </c>
      <c r="H19" s="820">
        <f t="shared" si="13"/>
        <v>0</v>
      </c>
      <c r="I19" s="822">
        <f t="shared" si="13"/>
        <v>0</v>
      </c>
      <c r="J19" s="822">
        <f t="shared" si="13"/>
        <v>0</v>
      </c>
      <c r="K19" s="881">
        <f t="shared" si="13"/>
        <v>0</v>
      </c>
      <c r="L19" s="822">
        <f t="shared" si="13"/>
        <v>443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1361</v>
      </c>
      <c r="X19" s="821">
        <f t="shared" si="14"/>
        <v>698</v>
      </c>
      <c r="Y19" s="828">
        <f t="shared" si="14"/>
        <v>2059</v>
      </c>
      <c r="Z19" s="828">
        <f t="shared" si="14"/>
        <v>0</v>
      </c>
      <c r="AA19" s="828">
        <f t="shared" si="14"/>
        <v>1484</v>
      </c>
      <c r="AB19" s="828">
        <f t="shared" si="14"/>
        <v>4291</v>
      </c>
      <c r="AC19" s="828">
        <f t="shared" si="14"/>
        <v>1676</v>
      </c>
      <c r="AD19" s="828">
        <f t="shared" si="14"/>
        <v>0</v>
      </c>
      <c r="AE19" s="830">
        <f t="shared" si="14"/>
        <v>0</v>
      </c>
      <c r="AF19" s="831">
        <f t="shared" si="14"/>
        <v>0</v>
      </c>
      <c r="AG19" s="832">
        <f t="shared" si="14"/>
        <v>0</v>
      </c>
      <c r="AH19" s="830">
        <f t="shared" si="14"/>
        <v>0</v>
      </c>
      <c r="AI19" s="820">
        <f t="shared" si="14"/>
        <v>918</v>
      </c>
      <c r="AJ19" s="820">
        <f t="shared" si="14"/>
        <v>0</v>
      </c>
      <c r="AK19" s="830">
        <f t="shared" si="14"/>
        <v>0</v>
      </c>
      <c r="AL19" s="884">
        <f>IF(ISNUMBER(NºAsuntos!G19/NºAsuntos!E19),NºAsuntos!G19/NºAsuntos!E19," - ")</f>
        <v>1.1304659498207885</v>
      </c>
      <c r="AM19" s="885">
        <f>IF(ISNUMBER(((NºAsuntos!I19/NºAsuntos!G19)*11)/factor_trimestre),((NºAsuntos!I19/NºAsuntos!G19)*11)/factor_trimestre," - ")</f>
        <v>4.3858592263792016</v>
      </c>
      <c r="AN19" s="885">
        <f>IF(ISNUMBER('Resol  Asuntos'!D19/NºAsuntos!G19),'Resol  Asuntos'!D19/NºAsuntos!G19," - ")</f>
        <v>0.29105897273303744</v>
      </c>
      <c r="AO19" s="886">
        <f>IF(ISNUMBER((NºAsuntos!C19+NºAsuntos!E19)/NºAsuntos!G19),(NºAsuntos!C19+NºAsuntos!E19)/NºAsuntos!G19," - ")</f>
        <v>2.4543436905516804</v>
      </c>
      <c r="AP19" s="887" t="str">
        <f t="shared" si="2"/>
        <v xml:space="preserve"> - </v>
      </c>
      <c r="AQ19" s="888">
        <f>IF(OR(ISNUMBER(FIND("01",Criterios!A8,1)),ISNUMBER(FIND("02",Criterios!A8,1)),ISNUMBER(FIND("03",Criterios!A8,1)),ISNUMBER(FIND("04",Criterios!A8,1))),(I19-W19+K19)/(F19-K19),(H19-W19+K19)/(F19-K19))</f>
        <v>-0.98909883720930236</v>
      </c>
      <c r="AR19" s="889">
        <f>IF(ISNUMBER((Datos!P19-Datos!Q19)/(Datos!R19-Datos!P19+Datos!Q19)),(Datos!P19-Datos!Q19)/(Datos!R19-Datos!P19+Datos!Q19)," - ")</f>
        <v>-5.6093268807743069E-2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608.79999999999995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788.66046771302877</v>
      </c>
      <c r="G21" s="253">
        <f>IF(ISNUMBER(STDEV(G8:G18)),STDEV(G8:G18),"-")</f>
        <v>757.26758810872127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716.21316659218155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347.42826597730931</v>
      </c>
      <c r="AJ21" s="252">
        <f t="shared" si="18"/>
        <v>0</v>
      </c>
      <c r="AK21" s="254">
        <f t="shared" si="18"/>
        <v>0</v>
      </c>
      <c r="AL21" s="249">
        <f t="shared" si="18"/>
        <v>0.45653784926811342</v>
      </c>
      <c r="AM21" s="250">
        <f t="shared" si="18"/>
        <v>2.0942691861320744</v>
      </c>
      <c r="AN21" s="250">
        <f t="shared" si="18"/>
        <v>0.18676351362718199</v>
      </c>
      <c r="AO21" s="251">
        <f t="shared" si="18"/>
        <v>0.70016534982620859</v>
      </c>
      <c r="AP21" s="291" t="str">
        <f t="shared" si="18"/>
        <v>-</v>
      </c>
      <c r="AQ21" s="292">
        <f t="shared" si="18"/>
        <v>0.70194918249080318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7g4dWbIxyj/iBbP8mFcGjR4XK4JVB00xIzRP02ad9kP2ZY0mvIwVKLobg6SEDwnlzGfONOXWJVOwfOMwqQ5pA==" saltValue="Q5hcZV9rwfPu4h866y3h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ZAMORA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-0.70588235294117652</v>
      </c>
      <c r="E10" s="348">
        <f>IF(ISNUMBER((Datos!J10-Datos!T10)/Datos!T10),(Datos!J10-Datos!T10)/Datos!T10," - ")</f>
        <v>-0.75</v>
      </c>
      <c r="F10" s="348">
        <f>IF(ISNUMBER((Datos!K10-Datos!U10)/Datos!U10),(Datos!K10-Datos!U10)/Datos!U10," - ")</f>
        <v>-1</v>
      </c>
      <c r="G10" s="349">
        <f>IF(ISNUMBER((Datos!L10-Datos!V10)/Datos!V10),(Datos!L10-Datos!V10)/Datos!V10," - ")</f>
        <v>-0.5714285714285714</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1.5272108843537415</v>
      </c>
      <c r="I12" s="350">
        <f>IF(ISNUMBER((Tasas!C12-Datos!BE12)/Datos!BE12),(Tasas!C12-Datos!BE12)/Datos!BE12," - ")</f>
        <v>-0.41002261404605256</v>
      </c>
      <c r="J12" s="349">
        <f>IF(ISNUMBER((Tasas!D12-Datos!BF12)/Datos!BF12),(Tasas!D12-Datos!BF12)/Datos!BF12," - ")</f>
        <v>0.12052351071306205</v>
      </c>
      <c r="K12" s="351">
        <f>IF(ISNUMBER((Tasas!E12-Datos!BG12)/Datos!BG12),(Tasas!E12-Datos!BG12)/Datos!BG12," - ")</f>
        <v>-0.30637824755275139</v>
      </c>
      <c r="M12" t="e">
        <f>IF(Monitorios="SI",Datos!CE12,0)</f>
        <v>#REF!</v>
      </c>
      <c r="N12" t="e">
        <f>IF(Monitorios="SI",Datos!CF12,0)</f>
        <v>#REF!</v>
      </c>
      <c r="O12" t="e">
        <f>IF(Monitorios="SI",Datos!CG12,0)</f>
        <v>#REF!</v>
      </c>
      <c r="P12" t="e">
        <f>IF(Monitorios="SI",Datos!CH12,0)</f>
        <v>#REF!</v>
      </c>
      <c r="Q12">
        <f>IF(J_V="SI",0,Datos!AG12)</f>
        <v>136</v>
      </c>
      <c r="R12">
        <f>IF(J_V="SI",0,Datos!AH12)</f>
        <v>123</v>
      </c>
      <c r="S12">
        <f>IF(J_V="SI",0,Datos!AI12)</f>
        <v>118</v>
      </c>
      <c r="T12">
        <f>IF(J_V="SI",0,Datos!AJ12)</f>
        <v>141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1.5101351351351351</v>
      </c>
      <c r="I13" s="357">
        <f>IF(ISNUMBER((Tasas!C13-Datos!BE13)/Datos!BE13),(Tasas!C13-Datos!BE13)/Datos!BE13," - ")</f>
        <v>-0.40778526656783776</v>
      </c>
      <c r="J13" s="355">
        <f>IF(ISNUMBER((Tasas!D13-Datos!BF13)/Datos!BF13),(Tasas!D13-Datos!BF13)/Datos!BF13," - ")</f>
        <v>0.12199600629431916</v>
      </c>
      <c r="K13" s="358">
        <f>IF(ISNUMBER((Tasas!E13-Datos!BG13)/Datos!BG13),(Tasas!E13-Datos!BG13)/Datos!BG13," - ")</f>
        <v>-0.30456249354054488</v>
      </c>
      <c r="M13" t="e">
        <f>IF(Monitorios="SI",Datos!CE13,0)</f>
        <v>#REF!</v>
      </c>
      <c r="N13" t="e">
        <f>IF(Monitorios="SI",Datos!CF13,0)</f>
        <v>#REF!</v>
      </c>
      <c r="O13" t="e">
        <f>IF(Monitorios="SI",Datos!CG13,0)</f>
        <v>#REF!</v>
      </c>
      <c r="P13" t="e">
        <f>IF(Monitorios="SI",Datos!CH13,0)</f>
        <v>#REF!</v>
      </c>
      <c r="Q13">
        <f>IF(J_V="SI",0,Datos!AG13)</f>
        <v>136</v>
      </c>
      <c r="R13">
        <f>IF(J_V="SI",0,Datos!AH13)</f>
        <v>123</v>
      </c>
      <c r="S13">
        <f>IF(J_V="SI",0,Datos!AI13)</f>
        <v>118</v>
      </c>
      <c r="T13">
        <f>IF(J_V="SI",0,Datos!AJ13)</f>
        <v>141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-0.24944320712694878</v>
      </c>
      <c r="E16" s="348">
        <f>IF(ISNUMBER(
   IF(D_I="SI",(Datos!J16-Datos!T16)/Datos!T16,(Datos!J16+Datos!AD16-(Datos!T16+Datos!AL16))/(Datos!T16+Datos!AL16))
     ),IF(D_I="SI",(Datos!J16-Datos!T16)/Datos!T16,(Datos!J16+Datos!AD16-(Datos!T16+Datos!AL16))/(Datos!T16+Datos!AL16))," - ")</f>
        <v>-7.4999999999999997E-2</v>
      </c>
      <c r="F16" s="348">
        <f>IF(ISNUMBER(
   IF(D_I="SI",(Datos!K16-Datos!U16)/Datos!U16,(Datos!K16+Datos!AE16-(Datos!U16+Datos!AM16))/(Datos!U16+Datos!AM16))
     ),IF(D_I="SI",(Datos!K16-Datos!U16)/Datos!U16,(Datos!K16+Datos!AE16-(Datos!U16+Datos!AM16))/(Datos!U16+Datos!AM16))," - ")</f>
        <v>-0.11118737131091283</v>
      </c>
      <c r="G16" s="349">
        <f>IF(ISNUMBER(
   IF(D_I="SI",(Datos!L16-Datos!V16)/Datos!V16,(Datos!L16+Datos!AF16-(Datos!V16+Datos!AN16))/(Datos!V16+Datos!AN16))
     ),IF(D_I="SI",(Datos!L16-Datos!V16)/Datos!V16,(Datos!L16+Datos!AF16-(Datos!V16+Datos!AN16))/(Datos!V16+Datos!AN16))," - ")</f>
        <v>-0.22288795686039545</v>
      </c>
      <c r="H16" s="230">
        <f>IF(ISNUMBER((Datos!M16-Datos!W16)/Datos!W16),(Datos!M16-Datos!W16)/Datos!W16," - ")</f>
        <v>0.28676470588235292</v>
      </c>
      <c r="I16" s="350">
        <f>IF(ISNUMBER((Tasas!C16-Datos!BE16)/Datos!BE16),(Tasas!C16-Datos!BE16)/Datos!BE16," - ")</f>
        <v>-0.12567394065297011</v>
      </c>
      <c r="J16" s="349">
        <f>IF(ISNUMBER((Tasas!D16-Datos!BF16)/Datos!BF16),(Tasas!D16-Datos!BF16)/Datos!BF16," - ")</f>
        <v>0.44773449920508762</v>
      </c>
      <c r="K16" s="351">
        <f>IF(ISNUMBER((Tasas!E16-Datos!BG16)/Datos!BG16),(Tasas!E16-Datos!BG16)/Datos!BG16," - ")</f>
        <v>-7.2409187107518244E-2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0.57943925233644855</v>
      </c>
      <c r="E17" s="348">
        <f>IF(ISNUMBER(
   IF(D_I="SI",(Datos!J17-Datos!T17)/Datos!T17,(Datos!J17+Datos!AD17-(Datos!T17+Datos!AL17))/(Datos!T17+Datos!AL17))
     ),IF(D_I="SI",(Datos!J17-Datos!T17)/Datos!T17,(Datos!J17+Datos!AD17-(Datos!T17+Datos!AL17))/(Datos!T17+Datos!AL17))," - ")</f>
        <v>-1.282051282051282E-2</v>
      </c>
      <c r="F17" s="348">
        <f>IF(ISNUMBER(
   IF(D_I="SI",(Datos!K17-Datos!U17)/Datos!U17,(Datos!K17+Datos!AE17-(Datos!U17+Datos!AM17))/(Datos!U17+Datos!AM17))
     ),IF(D_I="SI",(Datos!K17-Datos!U17)/Datos!U17,(Datos!K17+Datos!AE17-(Datos!U17+Datos!AM17))/(Datos!U17+Datos!AM17))," - ")</f>
        <v>0.13793103448275862</v>
      </c>
      <c r="G17" s="349">
        <f>IF(ISNUMBER(
   IF(D_I="SI",(Datos!L17-Datos!V17)/Datos!V17,(Datos!L17+Datos!AF17-(Datos!V17+Datos!AN17))/(Datos!V17+Datos!AN17))
     ),IF(D_I="SI",(Datos!L17-Datos!V17)/Datos!V17,(Datos!L17+Datos!AF17-(Datos!V17+Datos!AN17))/(Datos!V17+Datos!AN17))," - ")</f>
        <v>0.42519685039370081</v>
      </c>
      <c r="H17" s="230">
        <f>IF(ISNUMBER((Datos!M17-Datos!W17)/Datos!W17),(Datos!M17-Datos!W17)/Datos!W17," - ")</f>
        <v>-1</v>
      </c>
      <c r="I17" s="350">
        <f>IF(ISNUMBER((Tasas!C17-Datos!BE17)/Datos!BE17),(Tasas!C17-Datos!BE17)/Datos!BE17," - ")</f>
        <v>0.25244571701264601</v>
      </c>
      <c r="J17" s="349">
        <f>IF(ISNUMBER((Tasas!D17-Datos!BF17)/Datos!BF17),(Tasas!D17-Datos!BF17)/Datos!BF17," - ")</f>
        <v>-1</v>
      </c>
      <c r="K17" s="351">
        <f>IF(ISNUMBER((Tasas!E17-Datos!BG17)/Datos!BG17),(Tasas!E17-Datos!BG17)/Datos!BG17," - ")</f>
        <v>0.16855036855036848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-0.20283762480294273</v>
      </c>
      <c r="E18" s="354">
        <f>IF(ISNUMBER(
   IF(D_I="SI",(Datos!J18-Datos!T18)/Datos!T18,(Datos!J18+Datos!AD18-(Datos!T18+Datos!AL18))/(Datos!T18+Datos!AL18))
     ),IF(D_I="SI",(Datos!J18-Datos!T18)/Datos!T18,(Datos!J18+Datos!AD18-(Datos!T18+Datos!AL18))/(Datos!T18+Datos!AL18))," - ")</f>
        <v>-7.1530758226037203E-2</v>
      </c>
      <c r="F18" s="354">
        <f>IF(ISNUMBER(
   IF(D_I="SI",(Datos!K18-Datos!U18)/Datos!U18,(Datos!K18+Datos!AE18-(Datos!U18+Datos!AM18))/(Datos!U18+Datos!AM18))
     ),IF(D_I="SI",(Datos!K18-Datos!U18)/Datos!U18,(Datos!K18+Datos!AE18-(Datos!U18+Datos!AM18))/(Datos!U18+Datos!AM18))," - ")</f>
        <v>-0.10165016501650165</v>
      </c>
      <c r="G18" s="355">
        <f>IF(ISNUMBER(
   IF(D_I="SI",(Datos!L18-Datos!V18)/Datos!V18,(Datos!L18+Datos!AF18-(Datos!V18+Datos!AN18))/(Datos!V18+Datos!AN18))
     ),IF(D_I="SI",(Datos!L18-Datos!V18)/Datos!V18,(Datos!L18+Datos!AF18-(Datos!V18+Datos!AN18))/(Datos!V18+Datos!AN18))," - ")</f>
        <v>-0.17706013363028952</v>
      </c>
      <c r="H18" s="356">
        <f>IF(ISNUMBER((Datos!M18-Datos!W18)/Datos!W18),(Datos!M18-Datos!W18)/Datos!W18," - ")</f>
        <v>0.27737226277372262</v>
      </c>
      <c r="I18" s="357">
        <f>IF(ISNUMBER((Tasas!C18-Datos!BE18)/Datos!BE18),(Tasas!C18-Datos!BE18)/Datos!BE18," - ")</f>
        <v>-8.3942764474569331E-2</v>
      </c>
      <c r="J18" s="355">
        <f>IF(ISNUMBER((Tasas!D18-Datos!BF18)/Datos!BF18),(Tasas!D18-Datos!BF18)/Datos!BF18," - ")</f>
        <v>0.4219096091860321</v>
      </c>
      <c r="K18" s="358">
        <f>IF(ISNUMBER((Tasas!E18-Datos!BG18)/Datos!BG18),(Tasas!E18-Datos!BG18)/Datos!BG18," - ")</f>
        <v>-5.0735187898664082E-2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-8.4673691994823441E-2</v>
      </c>
      <c r="E19" s="363">
        <f>IF(ISNUMBER(
   IF(J_V="SI",(Datos!J19-Datos!T19)/Datos!T19,(Datos!J19+Datos!Z19-(Datos!T19+Datos!AH19))/(Datos!T19+Datos!AH19))
     ),IF(J_V="SI",(Datos!J19-Datos!T19)/Datos!T19,(Datos!J19+Datos!Z19-(Datos!T19+Datos!AH19))/(Datos!T19+Datos!AH19))," - ")</f>
        <v>3.9493293591654245E-2</v>
      </c>
      <c r="F19" s="363">
        <f>IF(ISNUMBER(
   IF(J_V="SI",(Datos!K19-Datos!U19)/Datos!U19,(Datos!K19+Datos!AA19-(Datos!U19+Datos!AI19))/(Datos!U19+Datos!AI19))
     ),IF(J_V="SI",(Datos!K19-Datos!U19)/Datos!U19,(Datos!K19+Datos!AA19-(Datos!U19+Datos!AI19))/(Datos!U19+Datos!AI19))," - ")</f>
        <v>0.156158357771261</v>
      </c>
      <c r="G19" s="364">
        <f>IF(ISNUMBER(
   IF(J_V="SI",(Datos!L19-Datos!V19)/Datos!V19,(Datos!L19+Datos!AB19-(Datos!V19+Datos!AJ19))/(Datos!V19+Datos!AJ19))
     ),IF(J_V="SI",(Datos!L19-Datos!V19)/Datos!V19,(Datos!L19+Datos!AB19-(Datos!V19+Datos!AJ19))/(Datos!V19+Datos!AJ19))," - ")</f>
        <v>-0.14213953488372094</v>
      </c>
      <c r="H19" s="365">
        <f>IF(ISNUMBER((Datos!M19-Datos!W19)/Datos!W19),(Datos!M19-Datos!W19)/Datos!W19," - ")</f>
        <v>1.1200923787528869</v>
      </c>
      <c r="I19" s="362">
        <f>IF(ISNUMBER((Tasas!C19-Datos!BE19)/Datos!BE19),(Tasas!C19-Datos!BE19)/Datos!BE19," - ")</f>
        <v>-0.25800781584108773</v>
      </c>
      <c r="J19" s="363">
        <f>IF(ISNUMBER((Tasas!D19-Datos!BF19)/Datos!BF19),(Tasas!D19-Datos!BF19)/Datos!BF19," - ")</f>
        <v>0.35728013267645486</v>
      </c>
      <c r="K19" s="364">
        <f>IF(ISNUMBER((Tasas!E19-Datos!BG19)/Datos!BG19),(Tasas!E19-Datos!BG19)/Datos!BG19," - ")</f>
        <v>-0.17268632301680664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0.53343366080434895</v>
      </c>
      <c r="E21" s="278">
        <f t="shared" si="1"/>
        <v>0.34960743765108826</v>
      </c>
      <c r="F21" s="278">
        <f t="shared" si="1"/>
        <v>0.50095387709629124</v>
      </c>
      <c r="G21" s="279">
        <f t="shared" si="1"/>
        <v>0.41383338411921117</v>
      </c>
      <c r="H21" s="285">
        <f t="shared" si="1"/>
        <v>1.1264628373927428</v>
      </c>
      <c r="I21" s="277">
        <f t="shared" si="1"/>
        <v>0.2742526596811049</v>
      </c>
      <c r="J21" s="278">
        <f t="shared" si="1"/>
        <v>0.59274081741428075</v>
      </c>
      <c r="K21" s="279">
        <f t="shared" si="1"/>
        <v>0.19930279056951994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27rLaLWJlQMhk1SImjiD0KwJgHH9QMPzk2EgbrN6roo5twYTQuaKrh94x5eGaZGWlfvPQrFrIBJbG+dwvI/Kg==" saltValue="z6rZovvt8ZtFxsUzeyDO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